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codeName="ThisWorkbook"/>
  <mc:AlternateContent xmlns:mc="http://schemas.openxmlformats.org/markup-compatibility/2006">
    <mc:Choice Requires="x15">
      <x15ac:absPath xmlns:x15ac="http://schemas.microsoft.com/office/spreadsheetml/2010/11/ac" url="/Users/karahunt/Documents/"/>
    </mc:Choice>
  </mc:AlternateContent>
  <xr:revisionPtr revIDLastSave="0" documentId="8_{F9345154-27C7-934B-8F95-98E5C2850639}" xr6:coauthVersionLast="47" xr6:coauthVersionMax="47" xr10:uidLastSave="{00000000-0000-0000-0000-000000000000}"/>
  <bookViews>
    <workbookView xWindow="0" yWindow="500" windowWidth="28800" windowHeight="15800" tabRatio="760" xr2:uid="{00000000-000D-0000-FFFF-FFFF00000000}"/>
  </bookViews>
  <sheets>
    <sheet name="HOME" sheetId="34" r:id="rId1"/>
    <sheet name="LIST" sheetId="33" state="hidden" r:id="rId2"/>
    <sheet name="DASHBOARD" sheetId="35" r:id="rId3"/>
    <sheet name="ASSUMPTIONS" sheetId="3" r:id="rId4"/>
    <sheet name="CALCULATION" sheetId="4" r:id="rId5"/>
  </sheets>
  <externalReferences>
    <externalReference r:id="rId6"/>
  </externalReferences>
  <definedNames>
    <definedName name="_xlnm._FilterDatabase" localSheetId="3" hidden="1">ASSUMPTIONS!$A$12:$E$94</definedName>
    <definedName name="AC_Target_Air">CALCULATION!$G$297</definedName>
    <definedName name="AC_Target_Elec">CALCULATION!$G$276</definedName>
    <definedName name="cf_in_cm">ASSUMPTIONS!$C$20</definedName>
    <definedName name="Electricity_available_on_site" localSheetId="2">Elec_on_site_T[ELECTRICITY ONSITE]</definedName>
    <definedName name="Electricity_available_on_site">Elec_on_site_T[ELECTRICITY ONSITE]</definedName>
    <definedName name="fdf">[1]ASSUMPTION!$G$9</definedName>
    <definedName name="Gas_Price" localSheetId="2">DASHBOARD!$O$14</definedName>
    <definedName name="Gas_Price">#REF!</definedName>
    <definedName name="Gasa_price_Table" localSheetId="2">Table7[GAS PRICE]</definedName>
    <definedName name="Gasa_price_Table">Table7[GAS PRICE]</definedName>
    <definedName name="Interest_Rate" localSheetId="2">DASHBOARD!$O$16</definedName>
    <definedName name="Interest_Rate">#REF!</definedName>
    <definedName name="Interest_Rate_table" localSheetId="2">Table6[INTEREST RATE]</definedName>
    <definedName name="Interest_Rate_table">Table6[INTEREST RATE]</definedName>
    <definedName name="Lifetime">ASSUMPTIONS!#REF!</definedName>
    <definedName name="Lifetime_P">CALCULATION!$B$218</definedName>
    <definedName name="Methane_Density_cf">ASSUMPTIONS!$C$19</definedName>
    <definedName name="Methane_Density_cm">ASSUMPTIONS!$C$18</definedName>
    <definedName name="Minimum_Rate_air">CALCULATION!$C$292</definedName>
    <definedName name="Minimum_Rate_Elec">CALCULATION!$C$271</definedName>
    <definedName name="Number_Days">ASSUMPTIONS!$C$15</definedName>
    <definedName name="Number_Hours">ASSUMPTIONS!$C$14</definedName>
    <definedName name="Number_Minutes">ASSUMPTIONS!$C$13</definedName>
    <definedName name="Numberpump" localSheetId="2">Pump_Number_T['# PUMPS]</definedName>
    <definedName name="Numberpump">Pump_Number_T['# PUMPS]</definedName>
    <definedName name="Retrofit_lifetime" localSheetId="2">Table8[RETROFIT LIFETIME]</definedName>
    <definedName name="Retrofit_lifetime">Table8[RETROFIT LIFETIME]</definedName>
    <definedName name="Retrofit_New" localSheetId="2">retrofit_new_T[NEW/RETROFIT]</definedName>
    <definedName name="Retrofit_New">retrofit_new_T[NEW/RETROFIT]</definedName>
    <definedName name="Share_Methane">ASSUMPTIONS!$C$21</definedName>
    <definedName name="SupplyGas" localSheetId="2">Supply_gas_T[TYPE OF SUPPLY GAS]</definedName>
    <definedName name="SupplyGas">Supply_gas_T[TYPE OF SUPPLY GAS]</definedName>
    <definedName name="Target" localSheetId="2">DASHBOARD!$O$20</definedName>
    <definedName name="Targe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35" l="1"/>
  <c r="G12" i="4"/>
  <c r="F12" i="4"/>
  <c r="W15" i="35"/>
  <c r="AA12" i="35" s="1"/>
  <c r="AA13" i="35" s="1"/>
  <c r="AA14" i="35" s="1"/>
  <c r="AA15" i="35" s="1"/>
  <c r="V14" i="35"/>
  <c r="V13" i="35"/>
  <c r="V12" i="35"/>
  <c r="X12" i="35" l="1"/>
  <c r="X13" i="35" s="1"/>
  <c r="X14" i="35" s="1"/>
  <c r="O72" i="35" l="1"/>
  <c r="M72" i="35"/>
  <c r="G72" i="35" l="1"/>
  <c r="D34" i="4"/>
  <c r="D77" i="4"/>
  <c r="G317" i="4"/>
  <c r="G316" i="4"/>
  <c r="H208" i="4"/>
  <c r="K210" i="4"/>
  <c r="Q210" i="4"/>
  <c r="T210" i="4"/>
  <c r="O211" i="4"/>
  <c r="U211" i="4"/>
  <c r="I208" i="4"/>
  <c r="J208" i="4"/>
  <c r="N208" i="4"/>
  <c r="O208" i="4"/>
  <c r="R208" i="4"/>
  <c r="S208" i="4"/>
  <c r="U208" i="4"/>
  <c r="V208" i="4"/>
  <c r="E210" i="4"/>
  <c r="L210" i="4" s="1"/>
  <c r="E211" i="4"/>
  <c r="P211" i="4" s="1"/>
  <c r="E208" i="4"/>
  <c r="K208" i="4" s="1"/>
  <c r="D199" i="4"/>
  <c r="D198" i="4"/>
  <c r="D54" i="4"/>
  <c r="E54" i="4"/>
  <c r="D55" i="4"/>
  <c r="E55" i="4"/>
  <c r="D56" i="4"/>
  <c r="E56" i="4"/>
  <c r="D57" i="4"/>
  <c r="E57" i="4"/>
  <c r="D58" i="4"/>
  <c r="E58" i="4"/>
  <c r="D59" i="4"/>
  <c r="E59" i="4"/>
  <c r="D60" i="4"/>
  <c r="E60" i="4"/>
  <c r="C60" i="4"/>
  <c r="C59" i="4"/>
  <c r="C58" i="4"/>
  <c r="C57" i="4"/>
  <c r="C56" i="4"/>
  <c r="C55" i="4"/>
  <c r="C54" i="4"/>
  <c r="D178" i="4"/>
  <c r="E178" i="4"/>
  <c r="D179" i="4"/>
  <c r="E179" i="4"/>
  <c r="C179" i="4"/>
  <c r="C178" i="4"/>
  <c r="D177" i="4"/>
  <c r="E177" i="4"/>
  <c r="C177" i="4"/>
  <c r="C174" i="4"/>
  <c r="D173" i="4"/>
  <c r="E173" i="4"/>
  <c r="C173" i="4"/>
  <c r="E153" i="4"/>
  <c r="D76" i="4"/>
  <c r="D75" i="4"/>
  <c r="E50" i="4"/>
  <c r="E49" i="4"/>
  <c r="E48" i="4"/>
  <c r="E47" i="4"/>
  <c r="E46" i="4"/>
  <c r="D18" i="4"/>
  <c r="L12" i="4"/>
  <c r="G249" i="4"/>
  <c r="G223" i="4"/>
  <c r="N211" i="4" l="1"/>
  <c r="S210" i="4"/>
  <c r="J210" i="4"/>
  <c r="P208" i="4"/>
  <c r="V211" i="4"/>
  <c r="M211" i="4"/>
  <c r="R210" i="4"/>
  <c r="I210" i="4"/>
  <c r="T211" i="4"/>
  <c r="M208" i="4"/>
  <c r="S211" i="4"/>
  <c r="J211" i="4"/>
  <c r="O210" i="4"/>
  <c r="H211" i="4"/>
  <c r="L211" i="4"/>
  <c r="L208" i="4"/>
  <c r="R211" i="4"/>
  <c r="I211" i="4"/>
  <c r="M210" i="4"/>
  <c r="K211" i="4"/>
  <c r="P210" i="4"/>
  <c r="H210" i="4"/>
  <c r="T208" i="4"/>
  <c r="V210" i="4"/>
  <c r="G318" i="4"/>
  <c r="C12" i="4"/>
  <c r="D21" i="4"/>
  <c r="D20" i="4"/>
  <c r="D19" i="4"/>
  <c r="K12" i="4"/>
  <c r="J12" i="4"/>
  <c r="E20" i="4" s="1"/>
  <c r="I12" i="4"/>
  <c r="E19" i="4" s="1"/>
  <c r="H12" i="4"/>
  <c r="E18" i="4" s="1"/>
  <c r="E77" i="4"/>
  <c r="E12" i="4"/>
  <c r="D12" i="4"/>
  <c r="B25" i="4" s="1"/>
  <c r="F25" i="4" s="1"/>
  <c r="B12" i="4"/>
  <c r="D98" i="4" s="1"/>
  <c r="M42" i="35" l="1"/>
  <c r="D74" i="4"/>
  <c r="D73" i="4"/>
  <c r="E34" i="4"/>
  <c r="F34" i="4" s="1"/>
  <c r="E21" i="4"/>
  <c r="E101" i="4"/>
  <c r="D49" i="4"/>
  <c r="E80" i="4" s="1"/>
  <c r="D80" i="4"/>
  <c r="D46" i="4"/>
  <c r="E73" i="4" s="1"/>
  <c r="D79" i="4"/>
  <c r="D78" i="4"/>
  <c r="B218" i="4"/>
  <c r="D197" i="4"/>
  <c r="H197" i="4" s="1"/>
  <c r="B200" i="4"/>
  <c r="D200" i="4" s="1"/>
  <c r="B144" i="4"/>
  <c r="D144" i="4" s="1"/>
  <c r="B143" i="4"/>
  <c r="D143" i="4" s="1"/>
  <c r="B81" i="4"/>
  <c r="D81" i="4" s="1"/>
  <c r="D100" i="4"/>
  <c r="F18" i="4"/>
  <c r="D103" i="4"/>
  <c r="D195" i="4" s="1"/>
  <c r="D99" i="4"/>
  <c r="D191" i="4" s="1"/>
  <c r="D101" i="4"/>
  <c r="D102" i="4"/>
  <c r="B26" i="4"/>
  <c r="G280" i="4"/>
  <c r="G271" i="4"/>
  <c r="E143" i="4"/>
  <c r="M58" i="35" l="1"/>
  <c r="F46" i="4"/>
  <c r="E98" i="4"/>
  <c r="F136" i="4" s="1"/>
  <c r="V326" i="4"/>
  <c r="D138" i="4"/>
  <c r="D192" i="4"/>
  <c r="D139" i="4"/>
  <c r="D193" i="4"/>
  <c r="D190" i="4"/>
  <c r="D136" i="4"/>
  <c r="D194" i="4"/>
  <c r="F77" i="4"/>
  <c r="F80" i="4"/>
  <c r="F190" i="4" l="1"/>
  <c r="H136" i="4"/>
  <c r="V256" i="4"/>
  <c r="H292" i="4" l="1"/>
  <c r="I292" i="4"/>
  <c r="J292" i="4"/>
  <c r="K292" i="4"/>
  <c r="L292" i="4"/>
  <c r="M292" i="4"/>
  <c r="N292" i="4"/>
  <c r="O292" i="4"/>
  <c r="P292" i="4"/>
  <c r="Q292" i="4"/>
  <c r="R292" i="4"/>
  <c r="S292" i="4"/>
  <c r="T292" i="4"/>
  <c r="U292" i="4"/>
  <c r="V292" i="4"/>
  <c r="G292" i="4"/>
  <c r="G301" i="4"/>
  <c r="F73" i="4" l="1"/>
  <c r="F76" i="4"/>
  <c r="F49" i="4"/>
  <c r="F50" i="4"/>
  <c r="D174" i="4"/>
  <c r="D175" i="4"/>
  <c r="D176" i="4"/>
  <c r="E87" i="4"/>
  <c r="H87" i="4" s="1"/>
  <c r="E88" i="4"/>
  <c r="H88" i="4" s="1"/>
  <c r="D108" i="4"/>
  <c r="D109" i="4"/>
  <c r="H153" i="4"/>
  <c r="H271" i="4"/>
  <c r="I271" i="4"/>
  <c r="J271" i="4"/>
  <c r="K271" i="4"/>
  <c r="L271" i="4"/>
  <c r="M271" i="4"/>
  <c r="N271" i="4"/>
  <c r="O271" i="4"/>
  <c r="P271" i="4"/>
  <c r="Q271" i="4"/>
  <c r="R271" i="4"/>
  <c r="S271" i="4"/>
  <c r="T271" i="4"/>
  <c r="U271" i="4"/>
  <c r="V271" i="4"/>
  <c r="V248" i="4"/>
  <c r="E174" i="4"/>
  <c r="E175" i="4"/>
  <c r="E176" i="4"/>
  <c r="C175" i="4"/>
  <c r="C176" i="4"/>
  <c r="G23" i="4"/>
  <c r="G36" i="4" s="1"/>
  <c r="G293" i="4" l="1"/>
  <c r="G281" i="4"/>
  <c r="L153" i="4"/>
  <c r="G302" i="4"/>
  <c r="V293" i="4"/>
  <c r="H293" i="4"/>
  <c r="I293" i="4"/>
  <c r="K293" i="4"/>
  <c r="J293" i="4"/>
  <c r="L293" i="4"/>
  <c r="M293" i="4"/>
  <c r="O293" i="4"/>
  <c r="N293" i="4"/>
  <c r="P293" i="4"/>
  <c r="Q293" i="4"/>
  <c r="S293" i="4"/>
  <c r="R293" i="4"/>
  <c r="T293" i="4"/>
  <c r="U293" i="4"/>
  <c r="H272" i="4"/>
  <c r="F26" i="4"/>
  <c r="R153" i="4"/>
  <c r="U272" i="4"/>
  <c r="S272" i="4"/>
  <c r="Q272" i="4"/>
  <c r="O272" i="4"/>
  <c r="M272" i="4"/>
  <c r="K272" i="4"/>
  <c r="I272" i="4"/>
  <c r="G272" i="4"/>
  <c r="U153" i="4"/>
  <c r="P153" i="4"/>
  <c r="N153" i="4"/>
  <c r="I153" i="4"/>
  <c r="V272" i="4"/>
  <c r="T272" i="4"/>
  <c r="R272" i="4"/>
  <c r="P272" i="4"/>
  <c r="N272" i="4"/>
  <c r="L272" i="4"/>
  <c r="J272" i="4"/>
  <c r="V153" i="4"/>
  <c r="T153" i="4"/>
  <c r="O153" i="4"/>
  <c r="I88" i="4"/>
  <c r="J88" i="4"/>
  <c r="T88" i="4"/>
  <c r="N88" i="4"/>
  <c r="U88" i="4"/>
  <c r="K88" i="4"/>
  <c r="O88" i="4"/>
  <c r="R88" i="4"/>
  <c r="V88" i="4"/>
  <c r="L88" i="4"/>
  <c r="P88" i="4"/>
  <c r="J153" i="4"/>
  <c r="K153" i="4"/>
  <c r="G275" i="4" l="1"/>
  <c r="F193" i="4"/>
  <c r="D141" i="4"/>
  <c r="H190" i="4"/>
  <c r="D47" i="4"/>
  <c r="F47" i="4" s="1"/>
  <c r="D48" i="4"/>
  <c r="H193" i="4" l="1"/>
  <c r="E100" i="4"/>
  <c r="F48" i="4"/>
  <c r="E99" i="4"/>
  <c r="D140" i="4"/>
  <c r="E75" i="4"/>
  <c r="E74" i="4"/>
  <c r="E81" i="4" s="1"/>
  <c r="F81" i="4" s="1"/>
  <c r="J78" i="4"/>
  <c r="I296" i="4"/>
  <c r="M296" i="4"/>
  <c r="Q296" i="4"/>
  <c r="U296" i="4"/>
  <c r="J296" i="4"/>
  <c r="N296" i="4"/>
  <c r="R296" i="4"/>
  <c r="V296" i="4"/>
  <c r="H296" i="4"/>
  <c r="L296" i="4"/>
  <c r="P296" i="4"/>
  <c r="T296" i="4"/>
  <c r="K296" i="4"/>
  <c r="O296" i="4"/>
  <c r="S296" i="4"/>
  <c r="G296" i="4"/>
  <c r="S299" i="4"/>
  <c r="O299" i="4"/>
  <c r="K299" i="4"/>
  <c r="G299" i="4"/>
  <c r="V299" i="4"/>
  <c r="R299" i="4"/>
  <c r="N299" i="4"/>
  <c r="J299" i="4"/>
  <c r="T299" i="4"/>
  <c r="L299" i="4"/>
  <c r="Q299" i="4"/>
  <c r="I299" i="4"/>
  <c r="P299" i="4"/>
  <c r="H299" i="4"/>
  <c r="U299" i="4"/>
  <c r="M299" i="4"/>
  <c r="G283" i="4"/>
  <c r="G285" i="4" s="1"/>
  <c r="G306" i="4" s="1"/>
  <c r="F19" i="4"/>
  <c r="F20" i="4"/>
  <c r="G278" i="4"/>
  <c r="K278" i="4"/>
  <c r="O278" i="4"/>
  <c r="S278" i="4"/>
  <c r="H278" i="4"/>
  <c r="L278" i="4"/>
  <c r="P278" i="4"/>
  <c r="T278" i="4"/>
  <c r="I278" i="4"/>
  <c r="M278" i="4"/>
  <c r="Q278" i="4"/>
  <c r="U278" i="4"/>
  <c r="V278" i="4"/>
  <c r="J278" i="4"/>
  <c r="N278" i="4"/>
  <c r="R278" i="4"/>
  <c r="N275" i="4"/>
  <c r="K275" i="4"/>
  <c r="L275" i="4"/>
  <c r="M275" i="4"/>
  <c r="R275" i="4"/>
  <c r="O275" i="4"/>
  <c r="P275" i="4"/>
  <c r="Q275" i="4"/>
  <c r="J275" i="4"/>
  <c r="H275" i="4"/>
  <c r="I275" i="4"/>
  <c r="V275" i="4"/>
  <c r="S275" i="4"/>
  <c r="T275" i="4"/>
  <c r="U275" i="4"/>
  <c r="F21" i="4"/>
  <c r="D137" i="4"/>
  <c r="D90" i="4" l="1"/>
  <c r="H90" i="4" s="1"/>
  <c r="E102" i="4"/>
  <c r="F194" i="4" s="1"/>
  <c r="F191" i="4"/>
  <c r="H191" i="4" s="1"/>
  <c r="E103" i="4"/>
  <c r="F195" i="4" s="1"/>
  <c r="H195" i="4" s="1"/>
  <c r="F192" i="4"/>
  <c r="H192" i="4" s="1"/>
  <c r="F36" i="4"/>
  <c r="F37" i="4" s="1"/>
  <c r="F38" i="4" s="1"/>
  <c r="F23" i="4"/>
  <c r="D163" i="4" s="1"/>
  <c r="F75" i="4"/>
  <c r="F51" i="4"/>
  <c r="D66" i="4" s="1"/>
  <c r="E108" i="4"/>
  <c r="F74" i="4"/>
  <c r="F137" i="4"/>
  <c r="H137" i="4" s="1"/>
  <c r="F101" i="4"/>
  <c r="G304" i="4"/>
  <c r="F139" i="4"/>
  <c r="H139" i="4" s="1"/>
  <c r="F98" i="4"/>
  <c r="G284" i="4"/>
  <c r="F138" i="4"/>
  <c r="H138" i="4" s="1"/>
  <c r="F100" i="4"/>
  <c r="D63" i="4" l="1"/>
  <c r="D67" i="4" s="1"/>
  <c r="D89" i="4" s="1"/>
  <c r="E79" i="4"/>
  <c r="E109" i="4"/>
  <c r="F109" i="4" s="1"/>
  <c r="D123" i="4"/>
  <c r="F24" i="4"/>
  <c r="R87" i="4"/>
  <c r="N87" i="4"/>
  <c r="T87" i="4"/>
  <c r="P87" i="4"/>
  <c r="J87" i="4"/>
  <c r="J90" i="4"/>
  <c r="U90" i="4"/>
  <c r="M90" i="4"/>
  <c r="O90" i="4"/>
  <c r="I90" i="4"/>
  <c r="N90" i="4"/>
  <c r="T90" i="4"/>
  <c r="R90" i="4"/>
  <c r="P90" i="4"/>
  <c r="L90" i="4"/>
  <c r="F99" i="4"/>
  <c r="V90" i="4"/>
  <c r="S90" i="4"/>
  <c r="Q90" i="4"/>
  <c r="K90" i="4"/>
  <c r="F102" i="4"/>
  <c r="G282" i="4"/>
  <c r="G286" i="4" s="1"/>
  <c r="F140" i="4"/>
  <c r="F143" i="4" s="1"/>
  <c r="H143" i="4" s="1"/>
  <c r="G305" i="4"/>
  <c r="L87" i="4"/>
  <c r="V87" i="4"/>
  <c r="I87" i="4"/>
  <c r="Q87" i="4"/>
  <c r="M87" i="4"/>
  <c r="U87" i="4"/>
  <c r="F141" i="4"/>
  <c r="H141" i="4" s="1"/>
  <c r="F103" i="4"/>
  <c r="F108" i="4"/>
  <c r="D64" i="4" l="1"/>
  <c r="D65" i="4" s="1"/>
  <c r="E78" i="4" s="1"/>
  <c r="F79" i="4"/>
  <c r="D87" i="4" s="1"/>
  <c r="U321" i="4"/>
  <c r="M321" i="4"/>
  <c r="T321" i="4"/>
  <c r="L321" i="4"/>
  <c r="S321" i="4"/>
  <c r="K321" i="4"/>
  <c r="G253" i="4"/>
  <c r="R321" i="4"/>
  <c r="J321" i="4"/>
  <c r="V321" i="4"/>
  <c r="Q321" i="4"/>
  <c r="I321" i="4"/>
  <c r="G321" i="4"/>
  <c r="P321" i="4"/>
  <c r="H321" i="4"/>
  <c r="O321" i="4"/>
  <c r="N321" i="4"/>
  <c r="F110" i="4"/>
  <c r="T115" i="4" s="1"/>
  <c r="T317" i="4" s="1"/>
  <c r="D124" i="4"/>
  <c r="D125" i="4"/>
  <c r="D164" i="4"/>
  <c r="D165" i="4"/>
  <c r="F27" i="4"/>
  <c r="G227" i="4"/>
  <c r="G89" i="4"/>
  <c r="G91" i="4" s="1"/>
  <c r="G222" i="4" s="1"/>
  <c r="G224" i="4" s="1"/>
  <c r="H253" i="4"/>
  <c r="H254" i="4" s="1"/>
  <c r="M69" i="35" s="1"/>
  <c r="G303" i="4"/>
  <c r="G307" i="4" s="1"/>
  <c r="U256" i="4"/>
  <c r="V230" i="4"/>
  <c r="H140" i="4"/>
  <c r="F104" i="4"/>
  <c r="J227" i="4"/>
  <c r="J228" i="4" s="1"/>
  <c r="O227" i="4"/>
  <c r="O228" i="4" s="1"/>
  <c r="P227" i="4"/>
  <c r="P228" i="4" s="1"/>
  <c r="I253" i="4"/>
  <c r="I254" i="4" s="1"/>
  <c r="M253" i="4"/>
  <c r="M254" i="4" s="1"/>
  <c r="Q253" i="4"/>
  <c r="Q254" i="4" s="1"/>
  <c r="R227" i="4"/>
  <c r="R228" i="4" s="1"/>
  <c r="S227" i="4"/>
  <c r="S228" i="4" s="1"/>
  <c r="M227" i="4"/>
  <c r="M228" i="4" s="1"/>
  <c r="U227" i="4"/>
  <c r="U228" i="4" s="1"/>
  <c r="N253" i="4"/>
  <c r="N254" i="4" s="1"/>
  <c r="P253" i="4"/>
  <c r="P254" i="4" s="1"/>
  <c r="K253" i="4"/>
  <c r="K254" i="4" s="1"/>
  <c r="S253" i="4"/>
  <c r="S254" i="4" s="1"/>
  <c r="V253" i="4"/>
  <c r="V254" i="4" s="1"/>
  <c r="H227" i="4"/>
  <c r="H228" i="4" s="1"/>
  <c r="V227" i="4"/>
  <c r="V228" i="4" s="1"/>
  <c r="T227" i="4"/>
  <c r="T228" i="4" s="1"/>
  <c r="J253" i="4"/>
  <c r="J254" i="4" s="1"/>
  <c r="O253" i="4"/>
  <c r="O254" i="4" s="1"/>
  <c r="I227" i="4"/>
  <c r="I228" i="4" s="1"/>
  <c r="K227" i="4"/>
  <c r="K228" i="4" s="1"/>
  <c r="L227" i="4"/>
  <c r="L228" i="4" s="1"/>
  <c r="N227" i="4"/>
  <c r="N228" i="4" s="1"/>
  <c r="L253" i="4"/>
  <c r="L254" i="4" s="1"/>
  <c r="T253" i="4"/>
  <c r="T254" i="4" s="1"/>
  <c r="R253" i="4"/>
  <c r="R254" i="4" s="1"/>
  <c r="Q227" i="4"/>
  <c r="Q228" i="4" s="1"/>
  <c r="U253" i="4"/>
  <c r="U254" i="4" s="1"/>
  <c r="H78" i="4" l="1"/>
  <c r="F42" i="35" s="1"/>
  <c r="P115" i="4"/>
  <c r="P317" i="4" s="1"/>
  <c r="J115" i="4"/>
  <c r="J317" i="4" s="1"/>
  <c r="O87" i="4"/>
  <c r="K87" i="4"/>
  <c r="S87" i="4"/>
  <c r="O323" i="4"/>
  <c r="O322" i="4"/>
  <c r="P323" i="4"/>
  <c r="P322" i="4"/>
  <c r="K323" i="4"/>
  <c r="K322" i="4"/>
  <c r="R115" i="4"/>
  <c r="R317" i="4" s="1"/>
  <c r="G323" i="4"/>
  <c r="G322" i="4"/>
  <c r="S323" i="4"/>
  <c r="S322" i="4"/>
  <c r="G313" i="4"/>
  <c r="G245" i="4"/>
  <c r="G230" i="4"/>
  <c r="M324" i="4"/>
  <c r="G256" i="4"/>
  <c r="H324" i="4"/>
  <c r="R324" i="4"/>
  <c r="T324" i="4"/>
  <c r="J324" i="4"/>
  <c r="L324" i="4"/>
  <c r="Q324" i="4"/>
  <c r="S324" i="4"/>
  <c r="K324" i="4"/>
  <c r="N324" i="4"/>
  <c r="P324" i="4"/>
  <c r="G324" i="4"/>
  <c r="I324" i="4"/>
  <c r="O324" i="4"/>
  <c r="V324" i="4"/>
  <c r="U324" i="4"/>
  <c r="I323" i="4"/>
  <c r="I322" i="4"/>
  <c r="Q323" i="4"/>
  <c r="Q322" i="4"/>
  <c r="T323" i="4"/>
  <c r="T322" i="4"/>
  <c r="V323" i="4"/>
  <c r="V322" i="4"/>
  <c r="M323" i="4"/>
  <c r="M322" i="4"/>
  <c r="R323" i="4"/>
  <c r="R322" i="4"/>
  <c r="L323" i="4"/>
  <c r="L322" i="4"/>
  <c r="G229" i="4"/>
  <c r="G228" i="4"/>
  <c r="N323" i="4"/>
  <c r="N322" i="4"/>
  <c r="J323" i="4"/>
  <c r="J322" i="4"/>
  <c r="U323" i="4"/>
  <c r="U322" i="4"/>
  <c r="H323" i="4"/>
  <c r="H322" i="4"/>
  <c r="G254" i="4"/>
  <c r="G255" i="4"/>
  <c r="M115" i="4"/>
  <c r="M317" i="4" s="1"/>
  <c r="L115" i="4"/>
  <c r="L317" i="4" s="1"/>
  <c r="K115" i="4"/>
  <c r="K317" i="4" s="1"/>
  <c r="I115" i="4"/>
  <c r="I317" i="4" s="1"/>
  <c r="S115" i="4"/>
  <c r="S317" i="4" s="1"/>
  <c r="U115" i="4"/>
  <c r="U317" i="4" s="1"/>
  <c r="N115" i="4"/>
  <c r="N223" i="4" s="1"/>
  <c r="V115" i="4"/>
  <c r="V223" i="4" s="1"/>
  <c r="O115" i="4"/>
  <c r="O317" i="4" s="1"/>
  <c r="H115" i="4"/>
  <c r="H317" i="4" s="1"/>
  <c r="Q115" i="4"/>
  <c r="D126" i="4"/>
  <c r="D127" i="4" s="1"/>
  <c r="D128" i="4" s="1"/>
  <c r="D166" i="4"/>
  <c r="D167" i="4" s="1"/>
  <c r="D168" i="4" s="1"/>
  <c r="S230" i="4"/>
  <c r="Q256" i="4"/>
  <c r="T256" i="4"/>
  <c r="J256" i="4"/>
  <c r="R230" i="4"/>
  <c r="H89" i="4"/>
  <c r="H91" i="4" s="1"/>
  <c r="G219" i="4"/>
  <c r="S256" i="4"/>
  <c r="U230" i="4"/>
  <c r="Q230" i="4"/>
  <c r="T230" i="4"/>
  <c r="R256" i="4"/>
  <c r="P256" i="4"/>
  <c r="N256" i="4"/>
  <c r="I230" i="4"/>
  <c r="H230" i="4"/>
  <c r="N230" i="4"/>
  <c r="L256" i="4"/>
  <c r="M230" i="4"/>
  <c r="O230" i="4"/>
  <c r="M256" i="4"/>
  <c r="K256" i="4"/>
  <c r="L230" i="4"/>
  <c r="I256" i="4"/>
  <c r="H256" i="4"/>
  <c r="M78" i="35" s="1"/>
  <c r="M82" i="35" s="1"/>
  <c r="P230" i="4"/>
  <c r="K230" i="4"/>
  <c r="J230" i="4"/>
  <c r="O256" i="4"/>
  <c r="F78" i="4"/>
  <c r="F82" i="4" s="1"/>
  <c r="R255" i="4"/>
  <c r="H255" i="4"/>
  <c r="M74" i="35" s="1"/>
  <c r="O255" i="4"/>
  <c r="V229" i="4"/>
  <c r="S255" i="4"/>
  <c r="U229" i="4"/>
  <c r="P229" i="4"/>
  <c r="T223" i="4"/>
  <c r="T249" i="4"/>
  <c r="U255" i="4"/>
  <c r="T255" i="4"/>
  <c r="L229" i="4"/>
  <c r="J255" i="4"/>
  <c r="K255" i="4"/>
  <c r="M229" i="4"/>
  <c r="Q255" i="4"/>
  <c r="O229" i="4"/>
  <c r="S89" i="4"/>
  <c r="N89" i="4"/>
  <c r="N91" i="4" s="1"/>
  <c r="N222" i="4" s="1"/>
  <c r="O89" i="4"/>
  <c r="Q89" i="4"/>
  <c r="I89" i="4"/>
  <c r="I91" i="4" s="1"/>
  <c r="I222" i="4" s="1"/>
  <c r="J89" i="4"/>
  <c r="J91" i="4" s="1"/>
  <c r="J222" i="4" s="1"/>
  <c r="R89" i="4"/>
  <c r="R91" i="4" s="1"/>
  <c r="R222" i="4" s="1"/>
  <c r="L89" i="4"/>
  <c r="L91" i="4" s="1"/>
  <c r="L222" i="4" s="1"/>
  <c r="U89" i="4"/>
  <c r="U91" i="4" s="1"/>
  <c r="U222" i="4" s="1"/>
  <c r="M89" i="4"/>
  <c r="P89" i="4"/>
  <c r="P91" i="4" s="1"/>
  <c r="P222" i="4" s="1"/>
  <c r="T89" i="4"/>
  <c r="T91" i="4" s="1"/>
  <c r="T222" i="4" s="1"/>
  <c r="K89" i="4"/>
  <c r="V89" i="4"/>
  <c r="V91" i="4" s="1"/>
  <c r="V222" i="4" s="1"/>
  <c r="Q229" i="4"/>
  <c r="L255" i="4"/>
  <c r="K229" i="4"/>
  <c r="T229" i="4"/>
  <c r="H229" i="4"/>
  <c r="P255" i="4"/>
  <c r="S229" i="4"/>
  <c r="M255" i="4"/>
  <c r="J229" i="4"/>
  <c r="N229" i="4"/>
  <c r="I229" i="4"/>
  <c r="V255" i="4"/>
  <c r="N255" i="4"/>
  <c r="R229" i="4"/>
  <c r="I255" i="4"/>
  <c r="D169" i="4" l="1"/>
  <c r="D129" i="4"/>
  <c r="D130" i="4" s="1"/>
  <c r="D152" i="4" s="1"/>
  <c r="F74" i="35"/>
  <c r="F78" i="35"/>
  <c r="F82" i="35" s="1"/>
  <c r="F59" i="35"/>
  <c r="F61" i="35" s="1"/>
  <c r="F58" i="35"/>
  <c r="F55" i="35"/>
  <c r="F57" i="35" s="1"/>
  <c r="F69" i="35"/>
  <c r="J249" i="4"/>
  <c r="I223" i="4"/>
  <c r="I224" i="4" s="1"/>
  <c r="I270" i="4" s="1"/>
  <c r="I249" i="4"/>
  <c r="J223" i="4"/>
  <c r="J224" i="4" s="1"/>
  <c r="J270" i="4" s="1"/>
  <c r="R223" i="4"/>
  <c r="R224" i="4" s="1"/>
  <c r="R270" i="4" s="1"/>
  <c r="P249" i="4"/>
  <c r="P223" i="4"/>
  <c r="P224" i="4" s="1"/>
  <c r="P270" i="4" s="1"/>
  <c r="H223" i="4"/>
  <c r="U249" i="4"/>
  <c r="U223" i="4"/>
  <c r="U224" i="4" s="1"/>
  <c r="L249" i="4"/>
  <c r="M249" i="4"/>
  <c r="M223" i="4"/>
  <c r="O249" i="4"/>
  <c r="O223" i="4"/>
  <c r="S249" i="4"/>
  <c r="R249" i="4"/>
  <c r="S223" i="4"/>
  <c r="D88" i="4"/>
  <c r="K91" i="4"/>
  <c r="K222" i="4" s="1"/>
  <c r="O91" i="4"/>
  <c r="O222" i="4" s="1"/>
  <c r="Q223" i="4"/>
  <c r="Q317" i="4"/>
  <c r="H249" i="4"/>
  <c r="V249" i="4"/>
  <c r="V250" i="4" s="1"/>
  <c r="V291" i="4" s="1"/>
  <c r="V294" i="4" s="1"/>
  <c r="V317" i="4"/>
  <c r="K249" i="4"/>
  <c r="L223" i="4"/>
  <c r="L224" i="4" s="1"/>
  <c r="L270" i="4" s="1"/>
  <c r="N249" i="4"/>
  <c r="N317" i="4"/>
  <c r="K223" i="4"/>
  <c r="Q249" i="4"/>
  <c r="F142" i="4"/>
  <c r="D142" i="4" s="1"/>
  <c r="H142" i="4" s="1"/>
  <c r="M55" i="35" s="1"/>
  <c r="M57" i="35" s="1"/>
  <c r="F196" i="4"/>
  <c r="H194" i="4"/>
  <c r="Q153" i="4"/>
  <c r="H222" i="4"/>
  <c r="V258" i="4"/>
  <c r="G270" i="4"/>
  <c r="N224" i="4"/>
  <c r="T224" i="4"/>
  <c r="V224" i="4"/>
  <c r="V270" i="4" s="1"/>
  <c r="D170" i="4" l="1"/>
  <c r="D182" i="4" s="1"/>
  <c r="D183" i="4" s="1"/>
  <c r="H224" i="4"/>
  <c r="V251" i="4"/>
  <c r="O224" i="4"/>
  <c r="O270" i="4" s="1"/>
  <c r="O273" i="4" s="1"/>
  <c r="K224" i="4"/>
  <c r="K270" i="4" s="1"/>
  <c r="K273" i="4" s="1"/>
  <c r="D196" i="4"/>
  <c r="H196" i="4" s="1"/>
  <c r="D208" i="4"/>
  <c r="Q208" i="4" s="1"/>
  <c r="D153" i="4"/>
  <c r="S88" i="4"/>
  <c r="S91" i="4" s="1"/>
  <c r="S222" i="4" s="1"/>
  <c r="S224" i="4" s="1"/>
  <c r="S270" i="4" s="1"/>
  <c r="S273" i="4" s="1"/>
  <c r="M88" i="4"/>
  <c r="M91" i="4" s="1"/>
  <c r="Q88" i="4"/>
  <c r="Q91" i="4" s="1"/>
  <c r="Q222" i="4" s="1"/>
  <c r="Q224" i="4" s="1"/>
  <c r="Q270" i="4" s="1"/>
  <c r="Q273" i="4" s="1"/>
  <c r="T270" i="4"/>
  <c r="T273" i="4" s="1"/>
  <c r="N270" i="4"/>
  <c r="N273" i="4" s="1"/>
  <c r="U225" i="4"/>
  <c r="U270" i="4"/>
  <c r="U273" i="4" s="1"/>
  <c r="N225" i="4"/>
  <c r="N232" i="4"/>
  <c r="T225" i="4"/>
  <c r="U232" i="4"/>
  <c r="T232" i="4"/>
  <c r="R232" i="4"/>
  <c r="R273" i="4"/>
  <c r="R225" i="4"/>
  <c r="L225" i="4"/>
  <c r="L273" i="4"/>
  <c r="L232" i="4"/>
  <c r="J232" i="4"/>
  <c r="J225" i="4"/>
  <c r="J273" i="4"/>
  <c r="P232" i="4"/>
  <c r="P273" i="4"/>
  <c r="P225" i="4"/>
  <c r="I273" i="4"/>
  <c r="I225" i="4"/>
  <c r="I232" i="4"/>
  <c r="V273" i="4"/>
  <c r="V232" i="4"/>
  <c r="V225" i="4"/>
  <c r="D184" i="4" l="1"/>
  <c r="F198" i="4" s="1"/>
  <c r="H198" i="4" s="1"/>
  <c r="D211" i="4" s="1"/>
  <c r="Q211" i="4" s="1"/>
  <c r="D185" i="4"/>
  <c r="F199" i="4" s="1"/>
  <c r="H199" i="4" s="1"/>
  <c r="D210" i="4" s="1"/>
  <c r="U210" i="4" s="1"/>
  <c r="H270" i="4"/>
  <c r="H273" i="4" s="1"/>
  <c r="H232" i="4"/>
  <c r="O225" i="4"/>
  <c r="O232" i="4"/>
  <c r="K225" i="4"/>
  <c r="K232" i="4"/>
  <c r="H225" i="4"/>
  <c r="G218" i="4"/>
  <c r="G220" i="4" s="1"/>
  <c r="F63" i="35" s="1"/>
  <c r="F65" i="35" s="1"/>
  <c r="F144" i="4"/>
  <c r="H144" i="4" s="1"/>
  <c r="M59" i="35" s="1"/>
  <c r="M61" i="35" s="1"/>
  <c r="D154" i="4"/>
  <c r="D209" i="4"/>
  <c r="M222" i="4"/>
  <c r="M224" i="4" s="1"/>
  <c r="M270" i="4" s="1"/>
  <c r="M273" i="4" s="1"/>
  <c r="S232" i="4"/>
  <c r="S225" i="4"/>
  <c r="Q232" i="4"/>
  <c r="Q225" i="4"/>
  <c r="N210" i="4" l="1"/>
  <c r="F200" i="4"/>
  <c r="H200" i="4" s="1"/>
  <c r="H202" i="4" s="1"/>
  <c r="G312" i="4" s="1"/>
  <c r="G314" i="4" s="1"/>
  <c r="H176" i="4"/>
  <c r="O42" i="35" s="1"/>
  <c r="F67" i="35"/>
  <c r="F71" i="35" s="1"/>
  <c r="F76" i="35" s="1"/>
  <c r="H145" i="4"/>
  <c r="H146" i="4"/>
  <c r="G232" i="4"/>
  <c r="F44" i="35"/>
  <c r="H209" i="4"/>
  <c r="I209" i="4"/>
  <c r="U209" i="4"/>
  <c r="P209" i="4"/>
  <c r="J209" i="4"/>
  <c r="Q209" i="4"/>
  <c r="N209" i="4"/>
  <c r="K209" i="4"/>
  <c r="R209" i="4"/>
  <c r="S209" i="4"/>
  <c r="V209" i="4"/>
  <c r="L209" i="4"/>
  <c r="T209" i="4"/>
  <c r="M209" i="4"/>
  <c r="O209" i="4"/>
  <c r="G269" i="4"/>
  <c r="G273" i="4" s="1"/>
  <c r="G274" i="4" s="1"/>
  <c r="G276" i="4" s="1"/>
  <c r="G225" i="4"/>
  <c r="G235" i="4"/>
  <c r="M225" i="4"/>
  <c r="M232" i="4"/>
  <c r="K152" i="4"/>
  <c r="G244" i="4" l="1"/>
  <c r="G246" i="4" s="1"/>
  <c r="M44" i="35" s="1"/>
  <c r="O69" i="35"/>
  <c r="H201" i="4"/>
  <c r="F84" i="35"/>
  <c r="F80" i="35"/>
  <c r="G236" i="4"/>
  <c r="G319" i="4"/>
  <c r="G329" i="4"/>
  <c r="G326" i="4"/>
  <c r="Q212" i="4"/>
  <c r="Q316" i="4" s="1"/>
  <c r="Q318" i="4" s="1"/>
  <c r="J212" i="4"/>
  <c r="J316" i="4" s="1"/>
  <c r="J318" i="4" s="1"/>
  <c r="N212" i="4"/>
  <c r="N316" i="4" s="1"/>
  <c r="N318" i="4" s="1"/>
  <c r="L212" i="4"/>
  <c r="L316" i="4" s="1"/>
  <c r="L318" i="4" s="1"/>
  <c r="I212" i="4"/>
  <c r="I316" i="4" s="1"/>
  <c r="I318" i="4" s="1"/>
  <c r="T212" i="4"/>
  <c r="T316" i="4" s="1"/>
  <c r="T318" i="4" s="1"/>
  <c r="V212" i="4"/>
  <c r="V316" i="4" s="1"/>
  <c r="V318" i="4" s="1"/>
  <c r="V319" i="4" s="1"/>
  <c r="P212" i="4"/>
  <c r="P316" i="4" s="1"/>
  <c r="P318" i="4" s="1"/>
  <c r="M212" i="4"/>
  <c r="M316" i="4" s="1"/>
  <c r="M318" i="4" s="1"/>
  <c r="U212" i="4"/>
  <c r="U316" i="4" s="1"/>
  <c r="U318" i="4" s="1"/>
  <c r="R212" i="4"/>
  <c r="R316" i="4" s="1"/>
  <c r="R318" i="4" s="1"/>
  <c r="H212" i="4"/>
  <c r="S212" i="4"/>
  <c r="S316" i="4" s="1"/>
  <c r="S318" i="4" s="1"/>
  <c r="O212" i="4"/>
  <c r="O316" i="4" s="1"/>
  <c r="O318" i="4" s="1"/>
  <c r="K212" i="4"/>
  <c r="K316" i="4" s="1"/>
  <c r="K318" i="4" s="1"/>
  <c r="H154" i="4"/>
  <c r="S153" i="4"/>
  <c r="M153" i="4"/>
  <c r="L152" i="4"/>
  <c r="M152" i="4"/>
  <c r="U152" i="4"/>
  <c r="T152" i="4"/>
  <c r="S152" i="4"/>
  <c r="O152" i="4"/>
  <c r="N152" i="4"/>
  <c r="I152" i="4"/>
  <c r="R152" i="4"/>
  <c r="G152" i="4"/>
  <c r="J152" i="4"/>
  <c r="V152" i="4"/>
  <c r="H152" i="4"/>
  <c r="P152" i="4"/>
  <c r="Q152" i="4"/>
  <c r="M63" i="35" l="1"/>
  <c r="M65" i="35" s="1"/>
  <c r="G261" i="4"/>
  <c r="O58" i="35"/>
  <c r="O55" i="35"/>
  <c r="O57" i="35" s="1"/>
  <c r="O78" i="35"/>
  <c r="O82" i="35" s="1"/>
  <c r="O44" i="35"/>
  <c r="O59" i="35"/>
  <c r="O61" i="35" s="1"/>
  <c r="O74" i="35"/>
  <c r="O63" i="35"/>
  <c r="O65" i="35" s="1"/>
  <c r="G237" i="4"/>
  <c r="F46" i="35" s="1"/>
  <c r="W12" i="35" s="1"/>
  <c r="G238" i="4"/>
  <c r="H316" i="4"/>
  <c r="H318" i="4" s="1"/>
  <c r="I319" i="4"/>
  <c r="I326" i="4"/>
  <c r="L319" i="4"/>
  <c r="L326" i="4"/>
  <c r="R319" i="4"/>
  <c r="R326" i="4"/>
  <c r="N319" i="4"/>
  <c r="N326" i="4"/>
  <c r="U319" i="4"/>
  <c r="U326" i="4"/>
  <c r="J319" i="4"/>
  <c r="J326" i="4"/>
  <c r="M319" i="4"/>
  <c r="M326" i="4"/>
  <c r="P319" i="4"/>
  <c r="P326" i="4"/>
  <c r="Q319" i="4"/>
  <c r="Q326" i="4"/>
  <c r="K319" i="4"/>
  <c r="K326" i="4"/>
  <c r="O319" i="4"/>
  <c r="O326" i="4"/>
  <c r="T319" i="4"/>
  <c r="T326" i="4"/>
  <c r="S319" i="4"/>
  <c r="S326" i="4"/>
  <c r="S154" i="4"/>
  <c r="S155" i="4" s="1"/>
  <c r="R248" i="4" s="1"/>
  <c r="M154" i="4"/>
  <c r="M155" i="4" s="1"/>
  <c r="L248" i="4" s="1"/>
  <c r="L154" i="4"/>
  <c r="L155" i="4" s="1"/>
  <c r="K248" i="4" s="1"/>
  <c r="J154" i="4"/>
  <c r="J155" i="4" s="1"/>
  <c r="I248" i="4" s="1"/>
  <c r="U154" i="4"/>
  <c r="U155" i="4" s="1"/>
  <c r="T248" i="4" s="1"/>
  <c r="K154" i="4"/>
  <c r="K155" i="4" s="1"/>
  <c r="J248" i="4" s="1"/>
  <c r="Q154" i="4"/>
  <c r="Q155" i="4" s="1"/>
  <c r="P248" i="4" s="1"/>
  <c r="V154" i="4"/>
  <c r="V155" i="4" s="1"/>
  <c r="U248" i="4" s="1"/>
  <c r="O154" i="4"/>
  <c r="O155" i="4" s="1"/>
  <c r="N248" i="4" s="1"/>
  <c r="P154" i="4"/>
  <c r="P155" i="4" s="1"/>
  <c r="O248" i="4" s="1"/>
  <c r="I154" i="4"/>
  <c r="I155" i="4" s="1"/>
  <c r="H248" i="4" s="1"/>
  <c r="N154" i="4"/>
  <c r="N155" i="4" s="1"/>
  <c r="M248" i="4" s="1"/>
  <c r="T154" i="4"/>
  <c r="T155" i="4" s="1"/>
  <c r="S248" i="4" s="1"/>
  <c r="H155" i="4"/>
  <c r="R154" i="4"/>
  <c r="R155" i="4" s="1"/>
  <c r="Q248" i="4" s="1"/>
  <c r="G155" i="4"/>
  <c r="H326" i="4" l="1"/>
  <c r="G330" i="4" s="1"/>
  <c r="G332" i="4" s="1"/>
  <c r="O48" i="35" s="1"/>
  <c r="O67" i="35"/>
  <c r="O71" i="35" s="1"/>
  <c r="H319" i="4"/>
  <c r="G248" i="4"/>
  <c r="G250" i="4" s="1"/>
  <c r="F48" i="35"/>
  <c r="M250" i="4"/>
  <c r="U250" i="4"/>
  <c r="I250" i="4"/>
  <c r="I251" i="4" s="1"/>
  <c r="R250" i="4"/>
  <c r="Q250" i="4"/>
  <c r="Q258" i="4" s="1"/>
  <c r="H250" i="4"/>
  <c r="P250" i="4"/>
  <c r="K250" i="4"/>
  <c r="O250" i="4"/>
  <c r="J250" i="4"/>
  <c r="L250" i="4"/>
  <c r="S250" i="4"/>
  <c r="N250" i="4"/>
  <c r="T250" i="4"/>
  <c r="H251" i="4" l="1"/>
  <c r="M67" i="35"/>
  <c r="M71" i="35" s="1"/>
  <c r="O80" i="35"/>
  <c r="O84" i="35"/>
  <c r="O76" i="35"/>
  <c r="G331" i="4"/>
  <c r="G251" i="4"/>
  <c r="G258" i="4"/>
  <c r="U291" i="4"/>
  <c r="U294" i="4" s="1"/>
  <c r="U258" i="4"/>
  <c r="Q291" i="4"/>
  <c r="Q294" i="4" s="1"/>
  <c r="R291" i="4"/>
  <c r="R294" i="4" s="1"/>
  <c r="R258" i="4"/>
  <c r="S291" i="4"/>
  <c r="S294" i="4" s="1"/>
  <c r="S258" i="4"/>
  <c r="T291" i="4"/>
  <c r="T294" i="4" s="1"/>
  <c r="T258" i="4"/>
  <c r="N291" i="4"/>
  <c r="N294" i="4" s="1"/>
  <c r="N258" i="4"/>
  <c r="J291" i="4"/>
  <c r="J294" i="4" s="1"/>
  <c r="J258" i="4"/>
  <c r="H291" i="4"/>
  <c r="H294" i="4" s="1"/>
  <c r="H258" i="4"/>
  <c r="O291" i="4"/>
  <c r="O294" i="4" s="1"/>
  <c r="O258" i="4"/>
  <c r="M291" i="4"/>
  <c r="M294" i="4" s="1"/>
  <c r="M258" i="4"/>
  <c r="K291" i="4"/>
  <c r="K294" i="4" s="1"/>
  <c r="K258" i="4"/>
  <c r="L291" i="4"/>
  <c r="L294" i="4" s="1"/>
  <c r="L258" i="4"/>
  <c r="P291" i="4"/>
  <c r="P294" i="4" s="1"/>
  <c r="P258" i="4"/>
  <c r="I291" i="4"/>
  <c r="I294" i="4" s="1"/>
  <c r="I258" i="4"/>
  <c r="M251" i="4"/>
  <c r="S251" i="4"/>
  <c r="O251" i="4"/>
  <c r="N251" i="4"/>
  <c r="J251" i="4"/>
  <c r="K251" i="4"/>
  <c r="R251" i="4"/>
  <c r="T251" i="4"/>
  <c r="Q251" i="4"/>
  <c r="U251" i="4"/>
  <c r="L251" i="4"/>
  <c r="P251" i="4"/>
  <c r="G291" i="4"/>
  <c r="M84" i="35" l="1"/>
  <c r="M76" i="35"/>
  <c r="M80" i="35"/>
  <c r="O46" i="35"/>
  <c r="W14" i="35" s="1"/>
  <c r="G262" i="4"/>
  <c r="G290" i="4"/>
  <c r="G294" i="4" s="1"/>
  <c r="G295" i="4" s="1"/>
  <c r="G297" i="4" s="1"/>
  <c r="G264" i="4" l="1"/>
  <c r="G263" i="4"/>
  <c r="M46" i="35" s="1"/>
  <c r="F72" i="35" l="1"/>
  <c r="W13" i="35"/>
  <c r="M4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1" authorId="0" shapeId="0" xr:uid="{00000000-0006-0000-0300-000001000000}">
      <text>
        <r>
          <rPr>
            <b/>
            <sz val="9"/>
            <color indexed="81"/>
            <rFont val="Tahoma"/>
            <family val="2"/>
          </rPr>
          <t>Author:</t>
        </r>
        <r>
          <rPr>
            <sz val="9"/>
            <color indexed="81"/>
            <rFont val="Tahoma"/>
            <family val="2"/>
          </rPr>
          <t xml:space="preserve">
Dry supply gas</t>
        </r>
      </text>
    </comment>
    <comment ref="B22" authorId="0" shapeId="0" xr:uid="{00000000-0006-0000-0300-000002000000}">
      <text>
        <r>
          <rPr>
            <b/>
            <sz val="9"/>
            <color indexed="81"/>
            <rFont val="Tahoma"/>
            <family val="2"/>
          </rPr>
          <t>Author:</t>
        </r>
        <r>
          <rPr>
            <sz val="9"/>
            <color indexed="81"/>
            <rFont val="Tahoma"/>
            <family val="2"/>
          </rPr>
          <t xml:space="preserve">
Dry supply gas</t>
        </r>
      </text>
    </comment>
    <comment ref="B23" authorId="0" shapeId="0" xr:uid="{00000000-0006-0000-0300-000003000000}">
      <text>
        <r>
          <rPr>
            <b/>
            <sz val="9"/>
            <color indexed="81"/>
            <rFont val="Tahoma"/>
            <family val="2"/>
          </rPr>
          <t>Author:</t>
        </r>
        <r>
          <rPr>
            <sz val="9"/>
            <color indexed="81"/>
            <rFont val="Tahoma"/>
            <family val="2"/>
          </rPr>
          <t xml:space="preserve">
wet supply gas</t>
        </r>
      </text>
    </comment>
    <comment ref="B24" authorId="0" shapeId="0" xr:uid="{00000000-0006-0000-0300-000004000000}">
      <text>
        <r>
          <rPr>
            <b/>
            <sz val="9"/>
            <color indexed="81"/>
            <rFont val="Tahoma"/>
            <family val="2"/>
          </rPr>
          <t>Author:</t>
        </r>
        <r>
          <rPr>
            <sz val="9"/>
            <color indexed="81"/>
            <rFont val="Tahoma"/>
            <family val="2"/>
          </rPr>
          <t xml:space="preserve">
wet supply gas</t>
        </r>
      </text>
    </comment>
    <comment ref="B72" authorId="0" shapeId="0" xr:uid="{00000000-0006-0000-0300-000005000000}">
      <text>
        <r>
          <rPr>
            <sz val="9"/>
            <color indexed="81"/>
            <rFont val="Tahoma"/>
            <family val="2"/>
          </rPr>
          <t>5 HP</t>
        </r>
      </text>
    </comment>
    <comment ref="B73" authorId="0" shapeId="0" xr:uid="{00000000-0006-0000-0300-000006000000}">
      <text>
        <r>
          <rPr>
            <sz val="9"/>
            <color indexed="81"/>
            <rFont val="Tahoma"/>
            <family val="2"/>
          </rPr>
          <t xml:space="preserve">10 HP
</t>
        </r>
      </text>
    </comment>
    <comment ref="B74" authorId="0" shapeId="0" xr:uid="{00000000-0006-0000-0300-000007000000}">
      <text>
        <r>
          <rPr>
            <sz val="9"/>
            <color indexed="81"/>
            <rFont val="Tahoma"/>
            <family val="2"/>
          </rPr>
          <t>15 HP</t>
        </r>
      </text>
    </comment>
    <comment ref="B75" authorId="0" shapeId="0" xr:uid="{00000000-0006-0000-0300-000008000000}">
      <text>
        <r>
          <rPr>
            <sz val="9"/>
            <color indexed="81"/>
            <rFont val="Tahoma"/>
            <family val="2"/>
          </rPr>
          <t>20 HP</t>
        </r>
      </text>
    </comment>
    <comment ref="B76" authorId="0" shapeId="0" xr:uid="{00000000-0006-0000-0300-000009000000}">
      <text>
        <r>
          <rPr>
            <sz val="9"/>
            <color indexed="81"/>
            <rFont val="Tahoma"/>
            <family val="2"/>
          </rPr>
          <t>5 HP</t>
        </r>
      </text>
    </comment>
    <comment ref="B77" authorId="0" shapeId="0" xr:uid="{00000000-0006-0000-0300-00000A000000}">
      <text>
        <r>
          <rPr>
            <sz val="9"/>
            <color indexed="81"/>
            <rFont val="Tahoma"/>
            <family val="2"/>
          </rPr>
          <t>10 HP</t>
        </r>
      </text>
    </comment>
    <comment ref="B78" authorId="0" shapeId="0" xr:uid="{00000000-0006-0000-0300-00000B000000}">
      <text>
        <r>
          <rPr>
            <sz val="9"/>
            <color indexed="81"/>
            <rFont val="Tahoma"/>
            <family val="2"/>
          </rPr>
          <t>15 HP</t>
        </r>
      </text>
    </comment>
    <comment ref="B79" authorId="0" shapeId="0" xr:uid="{00000000-0006-0000-0300-00000C000000}">
      <text>
        <r>
          <rPr>
            <sz val="9"/>
            <color indexed="81"/>
            <rFont val="Tahoma"/>
            <family val="2"/>
          </rPr>
          <t>20 HP</t>
        </r>
      </text>
    </comment>
    <comment ref="B80" authorId="0" shapeId="0" xr:uid="{00000000-0006-0000-0300-00000D000000}">
      <text>
        <r>
          <rPr>
            <b/>
            <sz val="9"/>
            <color indexed="81"/>
            <rFont val="Tahoma"/>
            <family val="2"/>
          </rPr>
          <t>Retrofit</t>
        </r>
      </text>
    </comment>
    <comment ref="B81" authorId="0" shapeId="0" xr:uid="{00000000-0006-0000-0300-00000E000000}">
      <text>
        <r>
          <rPr>
            <b/>
            <sz val="9"/>
            <color indexed="81"/>
            <rFont val="Tahoma"/>
            <family val="2"/>
          </rPr>
          <t xml:space="preserve">New sites
</t>
        </r>
        <r>
          <rPr>
            <sz val="9"/>
            <color indexed="81"/>
            <rFont val="Tahoma"/>
            <family val="2"/>
          </rPr>
          <t xml:space="preserve">
</t>
        </r>
      </text>
    </comment>
    <comment ref="B82" authorId="0" shapeId="0" xr:uid="{00000000-0006-0000-0300-00000F000000}">
      <text>
        <r>
          <rPr>
            <b/>
            <sz val="9"/>
            <color indexed="81"/>
            <rFont val="Tahoma"/>
            <family val="2"/>
          </rPr>
          <t>retrofit sites</t>
        </r>
      </text>
    </comment>
    <comment ref="B83" authorId="0" shapeId="0" xr:uid="{00000000-0006-0000-0300-000010000000}">
      <text>
        <r>
          <rPr>
            <sz val="9"/>
            <color indexed="81"/>
            <rFont val="Tahoma"/>
            <family val="2"/>
          </rPr>
          <t xml:space="preserve">New sites
</t>
        </r>
      </text>
    </comment>
    <comment ref="B87" authorId="0" shapeId="0" xr:uid="{9A5B1450-3D08-4F5D-84A7-D190933DF8FB}">
      <text>
        <r>
          <rPr>
            <sz val="9"/>
            <color indexed="81"/>
            <rFont val="Tahoma"/>
            <family val="2"/>
          </rPr>
          <t>5 HP</t>
        </r>
      </text>
    </comment>
    <comment ref="B88" authorId="0" shapeId="0" xr:uid="{7C44D0F6-EC17-42B3-B862-2109EC215FE4}">
      <text>
        <r>
          <rPr>
            <sz val="9"/>
            <color indexed="81"/>
            <rFont val="Tahoma"/>
            <family val="2"/>
          </rPr>
          <t xml:space="preserve">10 HP
</t>
        </r>
      </text>
    </comment>
    <comment ref="B89" authorId="0" shapeId="0" xr:uid="{327C2580-E29B-4214-835A-79F16D74A12C}">
      <text>
        <r>
          <rPr>
            <sz val="9"/>
            <color indexed="81"/>
            <rFont val="Tahoma"/>
            <family val="2"/>
          </rPr>
          <t>15 HP</t>
        </r>
      </text>
    </comment>
    <comment ref="B90" authorId="0" shapeId="0" xr:uid="{DABCF2A1-CC10-4EA8-AFE7-3C74A896C5CB}">
      <text>
        <r>
          <rPr>
            <sz val="9"/>
            <color indexed="81"/>
            <rFont val="Tahoma"/>
            <family val="2"/>
          </rPr>
          <t>20 HP</t>
        </r>
      </text>
    </comment>
    <comment ref="B91" authorId="0" shapeId="0" xr:uid="{0B9C52EB-1007-4BCF-B947-34825C71B2C6}">
      <text>
        <r>
          <rPr>
            <sz val="9"/>
            <color indexed="81"/>
            <rFont val="Tahoma"/>
            <family val="2"/>
          </rPr>
          <t>5 HP</t>
        </r>
      </text>
    </comment>
    <comment ref="B92" authorId="0" shapeId="0" xr:uid="{5BAB027F-4A36-41A0-96A6-1E1C7663CA14}">
      <text>
        <r>
          <rPr>
            <sz val="9"/>
            <color indexed="81"/>
            <rFont val="Tahoma"/>
            <family val="2"/>
          </rPr>
          <t>10 HP</t>
        </r>
      </text>
    </comment>
    <comment ref="B93" authorId="0" shapeId="0" xr:uid="{52930D5A-6BF1-4901-852F-90199410F6EE}">
      <text>
        <r>
          <rPr>
            <sz val="9"/>
            <color indexed="81"/>
            <rFont val="Tahoma"/>
            <family val="2"/>
          </rPr>
          <t>15 HP</t>
        </r>
      </text>
    </comment>
    <comment ref="B94" authorId="0" shapeId="0" xr:uid="{DD85DD7E-AC25-4A8F-B171-CC3BE580257E}">
      <text>
        <r>
          <rPr>
            <sz val="9"/>
            <color indexed="81"/>
            <rFont val="Tahoma"/>
            <family val="2"/>
          </rPr>
          <t>20 HP</t>
        </r>
      </text>
    </comment>
    <comment ref="B95" authorId="0" shapeId="0" xr:uid="{562339FC-0C54-4051-9835-0DADF5B4AC96}">
      <text>
        <r>
          <rPr>
            <b/>
            <sz val="9"/>
            <color indexed="81"/>
            <rFont val="Tahoma"/>
            <family val="2"/>
          </rPr>
          <t>Retrofit</t>
        </r>
      </text>
    </comment>
    <comment ref="B96" authorId="0" shapeId="0" xr:uid="{54831670-E4DF-450D-A988-C59C5492804B}">
      <text>
        <r>
          <rPr>
            <b/>
            <sz val="9"/>
            <color indexed="81"/>
            <rFont val="Tahoma"/>
            <family val="2"/>
          </rPr>
          <t xml:space="preserve">New sites
</t>
        </r>
        <r>
          <rPr>
            <sz val="9"/>
            <color indexed="81"/>
            <rFont val="Tahoma"/>
            <family val="2"/>
          </rPr>
          <t xml:space="preserve">
</t>
        </r>
      </text>
    </comment>
    <comment ref="B97" authorId="0" shapeId="0" xr:uid="{18B1CA1A-5618-4013-9A45-2CDEF7C63D60}">
      <text>
        <r>
          <rPr>
            <b/>
            <sz val="9"/>
            <color indexed="81"/>
            <rFont val="Tahoma"/>
            <family val="2"/>
          </rPr>
          <t>retrofit sites</t>
        </r>
      </text>
    </comment>
    <comment ref="B98" authorId="0" shapeId="0" xr:uid="{48652CD7-7DAB-4CBC-8655-DCB2CB61BFA3}">
      <text>
        <r>
          <rPr>
            <sz val="9"/>
            <color indexed="81"/>
            <rFont val="Tahoma"/>
            <family val="2"/>
          </rPr>
          <t xml:space="preserve">New sites
</t>
        </r>
      </text>
    </comment>
  </commentList>
</comments>
</file>

<file path=xl/sharedStrings.xml><?xml version="1.0" encoding="utf-8"?>
<sst xmlns="http://schemas.openxmlformats.org/spreadsheetml/2006/main" count="982" uniqueCount="377">
  <si>
    <t>Chemical Pumps</t>
  </si>
  <si>
    <t>Other controller (s)</t>
  </si>
  <si>
    <t>NEW/RETROFIT</t>
  </si>
  <si>
    <t>N</t>
  </si>
  <si>
    <t>R</t>
  </si>
  <si>
    <t>E</t>
  </si>
  <si>
    <t>NE</t>
  </si>
  <si>
    <t>W</t>
  </si>
  <si>
    <t>D</t>
  </si>
  <si>
    <t/>
  </si>
  <si>
    <t>scf/h</t>
  </si>
  <si>
    <t>Number of devices</t>
  </si>
  <si>
    <t>#</t>
  </si>
  <si>
    <t>Unit</t>
  </si>
  <si>
    <t>cf/h</t>
  </si>
  <si>
    <t>Value</t>
  </si>
  <si>
    <t>DESCRIPTION OF THE CASE</t>
  </si>
  <si>
    <t>Number of hours in a day</t>
  </si>
  <si>
    <t>Number of Days in a year</t>
  </si>
  <si>
    <t>%</t>
  </si>
  <si>
    <t>Methane density</t>
  </si>
  <si>
    <t>kg/m3</t>
  </si>
  <si>
    <t>cf-&gt;cm</t>
  </si>
  <si>
    <t>cm/cf</t>
  </si>
  <si>
    <t>kg/cf</t>
  </si>
  <si>
    <t>NA</t>
  </si>
  <si>
    <t>Share of the air bypassed in dryer</t>
  </si>
  <si>
    <t>Description</t>
  </si>
  <si>
    <t>GENERAL ASSUMPTIONS</t>
  </si>
  <si>
    <t>Total air supply required</t>
  </si>
  <si>
    <t>Share of the utility air supply</t>
  </si>
  <si>
    <t>HP/cfm</t>
  </si>
  <si>
    <t>Sizing of compressor - variable component</t>
  </si>
  <si>
    <t>Sizing of compressor - constant component</t>
  </si>
  <si>
    <t>HP</t>
  </si>
  <si>
    <t>Number of minutes per hours</t>
  </si>
  <si>
    <t>HP-&gt;MW</t>
  </si>
  <si>
    <t>MW/HP</t>
  </si>
  <si>
    <t>Load of the compressor (main)</t>
  </si>
  <si>
    <t>kW</t>
  </si>
  <si>
    <t>Energy consumption compressor</t>
  </si>
  <si>
    <t>Mscf</t>
  </si>
  <si>
    <t>ESD</t>
  </si>
  <si>
    <t>USD</t>
  </si>
  <si>
    <t>Chemical Pump</t>
  </si>
  <si>
    <t>USD/unit</t>
  </si>
  <si>
    <t>Unit Cost</t>
  </si>
  <si>
    <t>USD/Unit</t>
  </si>
  <si>
    <t>Number</t>
  </si>
  <si>
    <t>Total</t>
  </si>
  <si>
    <t>years</t>
  </si>
  <si>
    <t>CAPEX</t>
  </si>
  <si>
    <t>OPEX</t>
  </si>
  <si>
    <t>Battery replacement cost</t>
  </si>
  <si>
    <t>Solar panel replacement costs</t>
  </si>
  <si>
    <t>Frequency</t>
  </si>
  <si>
    <t>Solar Panel replacement frequency</t>
  </si>
  <si>
    <t>Total OPEX</t>
  </si>
  <si>
    <t>PROJECT COSTS - BASELINE</t>
  </si>
  <si>
    <t>Labour - installation - Controller</t>
  </si>
  <si>
    <t>Labour - installation - Pump</t>
  </si>
  <si>
    <t>Maintenance costs - wet gas sites</t>
  </si>
  <si>
    <t>Maintenance costs - dry gas sites</t>
  </si>
  <si>
    <t>Maintenance costs - Total</t>
  </si>
  <si>
    <t>Lifetime of the compressors</t>
  </si>
  <si>
    <t xml:space="preserve"> </t>
  </si>
  <si>
    <t>Electricity costs</t>
  </si>
  <si>
    <t>USD/year</t>
  </si>
  <si>
    <t xml:space="preserve">Electricity cost </t>
  </si>
  <si>
    <t>Compressor replacement</t>
  </si>
  <si>
    <t>Compressor maintenance</t>
  </si>
  <si>
    <t>Engine Maintenance</t>
  </si>
  <si>
    <t>% of Capex</t>
  </si>
  <si>
    <t>CAPEX - PROJECT</t>
  </si>
  <si>
    <t>CAPEX - BASELINE</t>
  </si>
  <si>
    <t>OPEX - PROJECT</t>
  </si>
  <si>
    <t>OPEX - BASELINE</t>
  </si>
  <si>
    <t>DIFFERENCE</t>
  </si>
  <si>
    <t>GAS SAVING</t>
  </si>
  <si>
    <t>NPV</t>
  </si>
  <si>
    <t>ABATEMENT COSTS</t>
  </si>
  <si>
    <t>CASH FLOW</t>
  </si>
  <si>
    <t>Share methane in the Gas</t>
  </si>
  <si>
    <t>VOC Saving</t>
  </si>
  <si>
    <t>t</t>
  </si>
  <si>
    <t>TOTAL COSTS</t>
  </si>
  <si>
    <t>tVOC</t>
  </si>
  <si>
    <t>Total gas emissions</t>
  </si>
  <si>
    <t>USD/tVOC</t>
  </si>
  <si>
    <t>CALCULATION</t>
  </si>
  <si>
    <t>Control Panel</t>
  </si>
  <si>
    <t>Solar Panel</t>
  </si>
  <si>
    <t>Battery</t>
  </si>
  <si>
    <t>Retrofit</t>
  </si>
  <si>
    <t>Continuous Controller (s)</t>
  </si>
  <si>
    <t xml:space="preserve">Intermittent Controller (s) </t>
  </si>
  <si>
    <t>Continuous Controller (s) +  control valve</t>
  </si>
  <si>
    <t>Intermittent Controller (s)  +  control valve</t>
  </si>
  <si>
    <t>Maintenance costs - Controller- wet gas sites</t>
  </si>
  <si>
    <t>Maintenance costs - Controller- dry gas sites</t>
  </si>
  <si>
    <t>Amps/site</t>
  </si>
  <si>
    <t>Amps/unit</t>
  </si>
  <si>
    <t>Battery Average Efficiency</t>
  </si>
  <si>
    <t>Avg. Peak Sun</t>
  </si>
  <si>
    <t>At Maximum Depth of Discharge</t>
  </si>
  <si>
    <t>days</t>
  </si>
  <si>
    <t>Ah</t>
  </si>
  <si>
    <t>V</t>
  </si>
  <si>
    <t>Other systems</t>
  </si>
  <si>
    <t>Amp</t>
  </si>
  <si>
    <t>Others requirements</t>
  </si>
  <si>
    <t>Load</t>
  </si>
  <si>
    <t>Wh</t>
  </si>
  <si>
    <t>Energy to Be Generated</t>
  </si>
  <si>
    <t>PV Array Required</t>
  </si>
  <si>
    <t>Requires Battery Bank of</t>
  </si>
  <si>
    <t>Maximum Number of solar panel on a site</t>
  </si>
  <si>
    <t>tCH4/Mscf</t>
  </si>
  <si>
    <t>Share of VOC in the gas</t>
  </si>
  <si>
    <t>Wh/day</t>
  </si>
  <si>
    <t>Annual Electricity demand - grid</t>
  </si>
  <si>
    <t>Electricity price US</t>
  </si>
  <si>
    <t>USD/kwh</t>
  </si>
  <si>
    <t>kWh/year</t>
  </si>
  <si>
    <t>USD/controller</t>
  </si>
  <si>
    <t>Instrument air use (dry)</t>
  </si>
  <si>
    <t>Instrument air supply (wet)</t>
  </si>
  <si>
    <t xml:space="preserve">Utility air supply </t>
  </si>
  <si>
    <t>tVOC/Mscf</t>
  </si>
  <si>
    <t>Amps/pump</t>
  </si>
  <si>
    <t>$/controller/year</t>
  </si>
  <si>
    <t>h/days</t>
  </si>
  <si>
    <t>Compressor Package - Main</t>
  </si>
  <si>
    <t>Total - Air system only</t>
  </si>
  <si>
    <t>Compressor - Unit cost</t>
  </si>
  <si>
    <t>tCH4</t>
  </si>
  <si>
    <t>CH4 Saving</t>
  </si>
  <si>
    <t>USD/tCH4</t>
  </si>
  <si>
    <t>Abatement cost</t>
  </si>
  <si>
    <t>Emission minimum Total</t>
  </si>
  <si>
    <t>Number of controllers</t>
  </si>
  <si>
    <t>Number of ESD</t>
  </si>
  <si>
    <t>Number of pump</t>
  </si>
  <si>
    <t>Emission from pump + ESD</t>
  </si>
  <si>
    <t>Emission per controller</t>
  </si>
  <si>
    <t>scfh</t>
  </si>
  <si>
    <t>Gas saving</t>
  </si>
  <si>
    <t>MSF</t>
  </si>
  <si>
    <t>Gas flow</t>
  </si>
  <si>
    <t>Other supply</t>
  </si>
  <si>
    <t>Installation</t>
  </si>
  <si>
    <t>Cash Flow</t>
  </si>
  <si>
    <t>Maximum Number of batteries on a site</t>
  </si>
  <si>
    <t>[15]</t>
  </si>
  <si>
    <t>[2]</t>
  </si>
  <si>
    <t>[10]</t>
  </si>
  <si>
    <t>[9,10]</t>
  </si>
  <si>
    <t>[9,12]</t>
  </si>
  <si>
    <t>[9]</t>
  </si>
  <si>
    <t>[12,10]</t>
  </si>
  <si>
    <t>[12]</t>
  </si>
  <si>
    <t>[10,15]</t>
  </si>
  <si>
    <t>[17]</t>
  </si>
  <si>
    <t>[18]</t>
  </si>
  <si>
    <t>Total CAPEX</t>
  </si>
  <si>
    <t>Electricity available on-site</t>
  </si>
  <si>
    <t>Wet supply gas</t>
  </si>
  <si>
    <t>Site Description</t>
  </si>
  <si>
    <t>New site</t>
  </si>
  <si>
    <t>No electricity available on-site</t>
  </si>
  <si>
    <t>ELECTRICITY ONSITE</t>
  </si>
  <si>
    <t># PUMPS</t>
  </si>
  <si>
    <t>TYPE OF SUPPLY GAS</t>
  </si>
  <si>
    <t>Dry supply gas</t>
  </si>
  <si>
    <t xml:space="preserve">Is there electricity available on-site? </t>
  </si>
  <si>
    <t>Is the site new (green field) or existing (retrofit)?</t>
  </si>
  <si>
    <t xml:space="preserve">Number of continuous bleed controllers </t>
  </si>
  <si>
    <t xml:space="preserve">Number of intermittent vent controllers </t>
  </si>
  <si>
    <t>Number of Emergency Shut Down (ESDs)</t>
  </si>
  <si>
    <t>Macro-economic assumptions</t>
  </si>
  <si>
    <t>Gas price (in USD/Mscf)</t>
  </si>
  <si>
    <t>Interest rate (in %)</t>
  </si>
  <si>
    <t>INTEREST RATE</t>
  </si>
  <si>
    <t>GAS PRICE</t>
  </si>
  <si>
    <t>Remaining lifetime for existing site (retrofit)</t>
  </si>
  <si>
    <t>RETROFIT LIFETIME</t>
  </si>
  <si>
    <t>INPUTS</t>
  </si>
  <si>
    <t>Emission Factors assumptions</t>
  </si>
  <si>
    <t>Emission factor - Continuous bleed controllers (in cf/h)</t>
  </si>
  <si>
    <t>Emission factor - Intermittent vent controllers (in cf/h)</t>
  </si>
  <si>
    <t>Emission factor - Pumps (in cf/h)</t>
  </si>
  <si>
    <t>Total methane emissions</t>
  </si>
  <si>
    <t>tCH4/year</t>
  </si>
  <si>
    <t>cfm</t>
  </si>
  <si>
    <t>Minimum sizing of the compressor (theoretical)</t>
  </si>
  <si>
    <t>USD/package</t>
  </si>
  <si>
    <t>Units</t>
  </si>
  <si>
    <t xml:space="preserve">Methane abatement cost </t>
  </si>
  <si>
    <t>VOC abatement cost</t>
  </si>
  <si>
    <t>Share methane in the Gas-D</t>
  </si>
  <si>
    <t>Share of VOC in the gas-D</t>
  </si>
  <si>
    <t>Share methane in the Gas-W</t>
  </si>
  <si>
    <t>Share of VOC in the gas-W</t>
  </si>
  <si>
    <t>Other supply-R</t>
  </si>
  <si>
    <t>Other supply-N</t>
  </si>
  <si>
    <t>Installation-R</t>
  </si>
  <si>
    <t>Installation-N</t>
  </si>
  <si>
    <t>Number of Continuous Controller (s)</t>
  </si>
  <si>
    <t xml:space="preserve">Number of Intermittent Controller (s) </t>
  </si>
  <si>
    <t>Number of Chemical Pumps</t>
  </si>
  <si>
    <r>
      <t xml:space="preserve">NEW/RETROFIT </t>
    </r>
    <r>
      <rPr>
        <sz val="9"/>
        <color theme="1" tint="0.499984740745262"/>
        <rFont val="Arial"/>
        <family val="2"/>
        <scheme val="minor"/>
      </rPr>
      <t>(N for New and R for Retrofit)</t>
    </r>
  </si>
  <si>
    <r>
      <t xml:space="preserve">ELECTRICITY_ON_SITE? </t>
    </r>
    <r>
      <rPr>
        <sz val="9"/>
        <color theme="1" tint="0.499984740745262"/>
        <rFont val="Arial"/>
        <family val="2"/>
        <scheme val="minor"/>
      </rPr>
      <t>(E for Electricity and NE for No Electricity)</t>
    </r>
  </si>
  <si>
    <t>Number of ESD(s)</t>
  </si>
  <si>
    <t xml:space="preserve">EMISSIONS ESTIMATE - ELECTRIC CONTROLER </t>
  </si>
  <si>
    <t xml:space="preserve">SIZING </t>
  </si>
  <si>
    <t>SIZING</t>
  </si>
  <si>
    <t>Lifetime new sites</t>
  </si>
  <si>
    <t>ESD emission factors</t>
  </si>
  <si>
    <t>Annual maintenance</t>
  </si>
  <si>
    <t>BASELINE - COST ASSUMPTIONS</t>
  </si>
  <si>
    <t>USD/cont.</t>
  </si>
  <si>
    <t>USD/cont./year</t>
  </si>
  <si>
    <t>ELECTRONIC CONTROLLERS - ENGINEERING ASSUMPTIONS</t>
  </si>
  <si>
    <t>ELECTRONIC CONTROLLERS - COST ASSUMPTIONS</t>
  </si>
  <si>
    <t>PROJECT COSTS - ELECTRONIC CONTROLLER</t>
  </si>
  <si>
    <t>SUMMARY - ELECTRONIC CONTROLLERS</t>
  </si>
  <si>
    <t>MINIMUM EMISSIONS - ELECTRONIC CONTROLLERS</t>
  </si>
  <si>
    <t>MINIMUM EMISSIONS - INSTRUMENT AIR</t>
  </si>
  <si>
    <t>Emission minimum total</t>
  </si>
  <si>
    <t>DASHBOARD</t>
  </si>
  <si>
    <t>ASSUMPTIONS</t>
  </si>
  <si>
    <t>About this Tool</t>
  </si>
  <si>
    <t>Dashboard</t>
  </si>
  <si>
    <t xml:space="preserve">Navigation in the Tool </t>
  </si>
  <si>
    <t xml:space="preserve">Zero emission technologies for pneumatic controllers in the USA </t>
  </si>
  <si>
    <t>Abatement cost tool</t>
  </si>
  <si>
    <t>About Carbon Limits</t>
  </si>
  <si>
    <t>Calculation Sheet</t>
  </si>
  <si>
    <t>[14,10]</t>
  </si>
  <si>
    <t>Assumption</t>
  </si>
  <si>
    <r>
      <t>References</t>
    </r>
    <r>
      <rPr>
        <sz val="10"/>
        <color theme="0" tint="-0.499984740745262"/>
        <rFont val="Arial"/>
        <family val="2"/>
        <scheme val="minor"/>
      </rPr>
      <t xml:space="preserve"> 
(The reference list is available in the appendix of the report)</t>
    </r>
  </si>
  <si>
    <t>Assumption sheet</t>
  </si>
  <si>
    <t>Social cost of Methane (in USD/tCH4)</t>
  </si>
  <si>
    <t>Quality of the gas used as supply gas for the controllers</t>
  </si>
  <si>
    <t>RESULTS</t>
  </si>
  <si>
    <t>Number of Pumps</t>
  </si>
  <si>
    <t xml:space="preserve">The user can follow calculation process of project and baseline costs, gas savings and emissions. </t>
  </si>
  <si>
    <t>The calculation process of project and baseline costs, gas savings and emissions is presented below.</t>
  </si>
  <si>
    <t>Mscf/Year</t>
  </si>
  <si>
    <t xml:space="preserve">The abatement cost tool has been developed by Carbon Limits. The abatement cost tool is designed to complement the report "Zero emission technologies for pneumatic controllers in the USA" and provide the user with the possibility to evaluate the abatement cost for a variety of site configurations and based on a range of assumptions. The tool has been designed to evaluate the abatement cost for wide deployment of zero emission controllers. Abatement costs are always dependant on site specific considerations and should be evaluated on a case by case basis. </t>
  </si>
  <si>
    <t>The Tool can be navigated through Tab system located below by clicking on the corresponding module title. The tool includes:</t>
  </si>
  <si>
    <t xml:space="preserve">Incremental CAPEX </t>
  </si>
  <si>
    <t>The full list of economic and technical assumptions used in the calculations is presented below. The values can be accessed by the user, but cannot be changed.</t>
  </si>
  <si>
    <t>Emission Factor</t>
  </si>
  <si>
    <t>Total Emissions</t>
  </si>
  <si>
    <t>EMISSIONS ESTIMATE - BASELINE (i.e. current situation)</t>
  </si>
  <si>
    <t>Requirement per unit</t>
  </si>
  <si>
    <t xml:space="preserve">Total </t>
  </si>
  <si>
    <t>Number of units</t>
  </si>
  <si>
    <t>Solar Panel (only when no electricity on-site)</t>
  </si>
  <si>
    <t>Battery  (only when no electricity on-site)</t>
  </si>
  <si>
    <r>
      <t>CAPEX</t>
    </r>
    <r>
      <rPr>
        <sz val="9"/>
        <color theme="1"/>
        <rFont val="Arial"/>
        <family val="2"/>
        <scheme val="minor"/>
      </rPr>
      <t xml:space="preserve"> (only relevant when the site is new, the CAPEX for retrofit site is 0)</t>
    </r>
  </si>
  <si>
    <t>OPEX OVER TIME</t>
  </si>
  <si>
    <t>Year of project termination</t>
  </si>
  <si>
    <t>KEY RESULTS</t>
  </si>
  <si>
    <t>every X years</t>
  </si>
  <si>
    <t>Level Controller &amp; Level Control Valve (only for new sites)</t>
  </si>
  <si>
    <t>Pressure Controller &amp; Control Valve  (only for new sites)</t>
  </si>
  <si>
    <t>Chemical Pump  (only for new sites)</t>
  </si>
  <si>
    <t>ESD  (only for new sites)</t>
  </si>
  <si>
    <t>Labour - installation - Controller  (only for new sites)</t>
  </si>
  <si>
    <t>Labour - installation - Pump  (only for new sites)</t>
  </si>
  <si>
    <t>Key assumptions (from assumptions sheet)</t>
  </si>
  <si>
    <t>Sizing calculation</t>
  </si>
  <si>
    <t>The dashboard is the central tab in the excel. The user can set the main input parameters and assumptions. Abatement costs are then presented for Electric Controllers and Instrument Air when relevant.</t>
  </si>
  <si>
    <t xml:space="preserve">Assumptions Tab contains the full list of financial and technical assumptions used in estimations. </t>
  </si>
  <si>
    <t>Carbon Limits is a consulting company with long standing experience in supporting energy efficiency measures in the petroleum industry. In particular, our team works in close collaboration with industries, government, and public bodies to identify and address inefficiencies in the use of natural gas and through this to achieve reductions in greenhouse gas emissions and other air pollutants. (http://www.carbonlimits.no/)</t>
  </si>
  <si>
    <t>Please provide main input parameters in the grey fields below (default values that can be changed if necessary). Results are presented based for Electric Controllers and Instrument Air depending on which of the options is applicable. Guidance are available when clicking on different cells.</t>
  </si>
  <si>
    <t xml:space="preserve">n </t>
  </si>
  <si>
    <t>BATTERY TEMPERATURE</t>
  </si>
  <si>
    <t>Outside (0 C)</t>
  </si>
  <si>
    <t>Inside (20 C)</t>
  </si>
  <si>
    <t>Battery Placement</t>
  </si>
  <si>
    <t xml:space="preserve">Labour Costs </t>
  </si>
  <si>
    <t>Driving time to site (hours)</t>
  </si>
  <si>
    <t>USD/hour</t>
  </si>
  <si>
    <t>Number of work hours in a day</t>
  </si>
  <si>
    <t>Days of Work - Retrofit</t>
  </si>
  <si>
    <t>Days of Work - New Site</t>
  </si>
  <si>
    <t>Methanol Fuel Cell</t>
  </si>
  <si>
    <t>METHANOL FUEL CELL</t>
  </si>
  <si>
    <t>Yes</t>
  </si>
  <si>
    <t>No</t>
  </si>
  <si>
    <t>Y</t>
  </si>
  <si>
    <t>Column1</t>
  </si>
  <si>
    <t xml:space="preserve">O0 </t>
  </si>
  <si>
    <t>I2</t>
  </si>
  <si>
    <r>
      <t xml:space="preserve">TYPE OF GAS </t>
    </r>
    <r>
      <rPr>
        <sz val="9"/>
        <color theme="1" tint="0.499984740745262"/>
        <rFont val="Arial"/>
        <family val="2"/>
        <scheme val="minor"/>
      </rPr>
      <t>(D for Dry and W for Wet)</t>
    </r>
  </si>
  <si>
    <r>
      <t xml:space="preserve">METHANOL FUEL CELL </t>
    </r>
    <r>
      <rPr>
        <sz val="9"/>
        <color theme="1" tint="0.499984740745262"/>
        <rFont val="Arial"/>
        <family val="2"/>
        <scheme val="minor"/>
      </rPr>
      <t xml:space="preserve">(Y for Yes, N for No) </t>
    </r>
  </si>
  <si>
    <t xml:space="preserve">% difference in battery capacity </t>
  </si>
  <si>
    <t>Days of Work - R</t>
  </si>
  <si>
    <t>Days of Work - N</t>
  </si>
  <si>
    <t>Labour Costs for Installation</t>
  </si>
  <si>
    <t>hours/day</t>
  </si>
  <si>
    <t>Driving Time</t>
  </si>
  <si>
    <t>SOLAR INSTRUMENT AIR - COST ASSUMPTIONS</t>
  </si>
  <si>
    <t>Fail Safe System &amp; UPS (ESD)</t>
  </si>
  <si>
    <t xml:space="preserve">ESD </t>
  </si>
  <si>
    <t>GRID INSTRUMENT AIR - ENGINEERING ASSUMPTIONS</t>
  </si>
  <si>
    <t>SOLAR INSTRUMENT AIR - ENGINEERING ASSUMPTIONS</t>
  </si>
  <si>
    <t>POWER PRODUCING UNITS - ENGINEERING ASSUMPTIONS</t>
  </si>
  <si>
    <t>System Voltage (Electric Controllers)</t>
  </si>
  <si>
    <t>Days of Energy Storage (Electric Controllers)</t>
  </si>
  <si>
    <t>Days of Energy Storage (Solar powered instrument air)</t>
  </si>
  <si>
    <t>System Voltage (Solar powered instrument air)</t>
  </si>
  <si>
    <t>Rating of the solar panel (Electric Controllers)</t>
  </si>
  <si>
    <t>Rating of the solar panel (Solar powered instrument air)</t>
  </si>
  <si>
    <t>Rating of the battery (Electric Controllers)</t>
  </si>
  <si>
    <t>Rating of the battery (Solar powered instrument air)</t>
  </si>
  <si>
    <t>Oversizing of the solar panel (Electric Controllers)</t>
  </si>
  <si>
    <t>Oversizing of the solar panel (Solar powered instrument air)</t>
  </si>
  <si>
    <t>GRID INSTRUMENT AIR - COST ASSUMPTIONS</t>
  </si>
  <si>
    <t>Continuous Controller</t>
  </si>
  <si>
    <t>Intermittent Controller</t>
  </si>
  <si>
    <t>Control Valve</t>
  </si>
  <si>
    <t>POWER PRODUCING UNITS - COST ASSUMPTIONS</t>
  </si>
  <si>
    <t>Battery (100 Ah)</t>
  </si>
  <si>
    <t>Solar Panel (320 W)</t>
  </si>
  <si>
    <t>Battery (1100 Ah)</t>
  </si>
  <si>
    <t>Solar Panel (140 W)</t>
  </si>
  <si>
    <t>Note: It is assumed that pneumatic ESD are used at retrofit sites</t>
  </si>
  <si>
    <t>Annual Maintenance</t>
  </si>
  <si>
    <t>PROJECT COSTS - GRID INSTRUMENT AIR</t>
  </si>
  <si>
    <t>PROJECT COSTS - SOLAR POWERED INSTRUMENT AIR</t>
  </si>
  <si>
    <t>Duty Cycle</t>
  </si>
  <si>
    <t>SUMMARY - GRID INSTRUMENT AIR</t>
  </si>
  <si>
    <t>Total - Air system &amp; solar</t>
  </si>
  <si>
    <t>Compressor Replacement</t>
  </si>
  <si>
    <t>Battery replacement</t>
  </si>
  <si>
    <t>Solar panel replacement</t>
  </si>
  <si>
    <t>Battery replacement frequency (100 Ah)</t>
  </si>
  <si>
    <t>Battery replacement frequency (1100 Ah)</t>
  </si>
  <si>
    <t>SUMMARY - SOLAR POWERED INSTRUMENT AIR</t>
  </si>
  <si>
    <t>C. Solar Powered Instrument Air</t>
  </si>
  <si>
    <t>B.  Instrument Air - Electricity on site</t>
  </si>
  <si>
    <t>A. Electronic Controllers</t>
  </si>
  <si>
    <t>days/controllers</t>
  </si>
  <si>
    <t>Is the zero emission options applicable or relevant in this case?</t>
  </si>
  <si>
    <t>[9,20]</t>
  </si>
  <si>
    <t xml:space="preserve">Updated applicability and cost effectiveness. </t>
  </si>
  <si>
    <t>ANNUALIZED COSTS</t>
  </si>
  <si>
    <t>Difference in equipment costs</t>
  </si>
  <si>
    <t>Difference in equipment costs - Annualized</t>
  </si>
  <si>
    <t>Difference in installation costs</t>
  </si>
  <si>
    <t>Difference in installation costs - Annualized</t>
  </si>
  <si>
    <t xml:space="preserve">Difference in CAPEX </t>
  </si>
  <si>
    <t>Difference in CAPEX - Annualized</t>
  </si>
  <si>
    <t>Difference in ongoing Cost - Annual (average)</t>
  </si>
  <si>
    <t>Value of Saved Gas - Annual</t>
  </si>
  <si>
    <t>Total annualized Cost  - Difference</t>
  </si>
  <si>
    <t>Annual VOC savings (short tons)</t>
  </si>
  <si>
    <t>VOC Abatement Cost ($/short ton)</t>
  </si>
  <si>
    <t>Annual Methane savings (short tons)</t>
  </si>
  <si>
    <t>Methane Abatement Cost ($/short ton)</t>
  </si>
  <si>
    <t>Annual Methane-ethane savings (Short ton)</t>
  </si>
  <si>
    <t>Methane-ethane Abatement Cost ($/short ton)</t>
  </si>
  <si>
    <t>Methane-ethane per methane</t>
  </si>
  <si>
    <t>Social cost of methane</t>
  </si>
  <si>
    <t>Metric tonne to short tonne</t>
  </si>
  <si>
    <t>short ton/metric ton</t>
  </si>
  <si>
    <t>CONTROL VALVE REPLACEMENT</t>
  </si>
  <si>
    <t>Control Valve Replacement</t>
  </si>
  <si>
    <t>New Site</t>
  </si>
  <si>
    <r>
      <t xml:space="preserve">CONTROL VALVE REPLACEMENT 
</t>
    </r>
    <r>
      <rPr>
        <sz val="9"/>
        <color theme="1" tint="0.499984740745262"/>
        <rFont val="Arial"/>
        <family val="2"/>
        <scheme val="minor"/>
      </rPr>
      <t xml:space="preserve">(Y for Yes, N for No) </t>
    </r>
  </si>
  <si>
    <t>Outside (-20 C)</t>
  </si>
  <si>
    <t>O2</t>
  </si>
  <si>
    <r>
      <t xml:space="preserve">BATTERY PLACEMENT </t>
    </r>
    <r>
      <rPr>
        <sz val="9"/>
        <color theme="1" tint="0.499984740745262"/>
        <rFont val="Arial"/>
        <family val="2"/>
        <scheme val="minor"/>
      </rPr>
      <t>(O2 for Outside (-20C), O0 for Outside (0C), I2 for Inside (20C))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</si>
</sst>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164" formatCode="0.0000"/>
    <numFmt numFmtId="165" formatCode="0.0"/>
    <numFmt numFmtId="166" formatCode="0.00000"/>
    <numFmt numFmtId="167" formatCode="#,##0.000"/>
    <numFmt numFmtId="168" formatCode="0&quot; years&quot;\ "/>
    <numFmt numFmtId="169" formatCode="0&quot; Units&quot;"/>
    <numFmt numFmtId="170" formatCode="[$$-C09]#,##0;\-[$$-C09]#,##0"/>
    <numFmt numFmtId="171" formatCode="#,##0&quot; USD/t CH4&quot;"/>
    <numFmt numFmtId="172" formatCode="#,##0&quot; USD/t VOC&quot;"/>
    <numFmt numFmtId="173" formatCode="0.0&quot; cf/h&quot;"/>
    <numFmt numFmtId="174" formatCode="0&quot; USD/tCH4&quot;"/>
    <numFmt numFmtId="175" formatCode="#,##0.0"/>
    <numFmt numFmtId="176" formatCode="#,##0_ ;\-#,##0\ "/>
    <numFmt numFmtId="177" formatCode="#,##0.00_ ;\-#,##0.00\ "/>
    <numFmt numFmtId="178" formatCode="[$$-C09]#,##0.00;\-[$$-C09]#,##0.00"/>
    <numFmt numFmtId="179" formatCode="&quot;Year &quot;\ 0"/>
    <numFmt numFmtId="180" formatCode="0.0&quot; USD/Mscf&quot;\ "/>
    <numFmt numFmtId="181" formatCode="0&quot; hours&quot;"/>
    <numFmt numFmtId="182" formatCode="0.000"/>
  </numFmts>
  <fonts count="67" x14ac:knownFonts="1">
    <font>
      <sz val="11"/>
      <color theme="1"/>
      <name val="Arial"/>
      <family val="2"/>
      <scheme val="minor"/>
    </font>
    <font>
      <b/>
      <sz val="9"/>
      <color theme="0"/>
      <name val="Arial"/>
      <family val="2"/>
      <scheme val="minor"/>
    </font>
    <font>
      <sz val="9"/>
      <color theme="1"/>
      <name val="Arial"/>
      <family val="2"/>
      <scheme val="minor"/>
    </font>
    <font>
      <b/>
      <sz val="9"/>
      <color theme="1"/>
      <name val="Arial"/>
      <family val="2"/>
      <scheme val="minor"/>
    </font>
    <font>
      <sz val="9"/>
      <color theme="0"/>
      <name val="Arial"/>
      <family val="2"/>
      <scheme val="minor"/>
    </font>
    <font>
      <sz val="9"/>
      <color theme="0" tint="-0.249977111117893"/>
      <name val="Arial"/>
      <family val="2"/>
      <scheme val="minor"/>
    </font>
    <font>
      <sz val="9"/>
      <color rgb="FFC00000"/>
      <name val="Arial"/>
      <family val="2"/>
      <scheme val="minor"/>
    </font>
    <font>
      <sz val="11"/>
      <color theme="1"/>
      <name val="Arial"/>
      <family val="2"/>
      <scheme val="minor"/>
    </font>
    <font>
      <sz val="11"/>
      <color theme="0"/>
      <name val="Arial"/>
      <family val="2"/>
      <scheme val="minor"/>
    </font>
    <font>
      <sz val="8"/>
      <color theme="0" tint="-0.34998626667073579"/>
      <name val="Arial"/>
      <family val="2"/>
      <scheme val="minor"/>
    </font>
    <font>
      <sz val="9"/>
      <color theme="3" tint="-0.499984740745262"/>
      <name val="Arial"/>
      <family val="2"/>
      <scheme val="minor"/>
    </font>
    <font>
      <b/>
      <sz val="9"/>
      <color theme="3" tint="-0.499984740745262"/>
      <name val="Arial"/>
      <family val="2"/>
      <scheme val="minor"/>
    </font>
    <font>
      <b/>
      <u/>
      <sz val="9"/>
      <color theme="1"/>
      <name val="Arial"/>
      <family val="2"/>
      <scheme val="minor"/>
    </font>
    <font>
      <sz val="8"/>
      <color theme="1"/>
      <name val="Arial"/>
      <family val="2"/>
      <scheme val="minor"/>
    </font>
    <font>
      <sz val="9"/>
      <color indexed="81"/>
      <name val="Tahoma"/>
      <family val="2"/>
    </font>
    <font>
      <b/>
      <sz val="9"/>
      <color indexed="81"/>
      <name val="Tahoma"/>
      <family val="2"/>
    </font>
    <font>
      <sz val="8"/>
      <color theme="0"/>
      <name val="Arial"/>
      <family val="2"/>
      <scheme val="minor"/>
    </font>
    <font>
      <sz val="10"/>
      <color theme="1"/>
      <name val="Arial"/>
      <family val="2"/>
      <scheme val="minor"/>
    </font>
    <font>
      <sz val="9"/>
      <name val="Geneva"/>
      <family val="2"/>
    </font>
    <font>
      <b/>
      <sz val="9"/>
      <color theme="3"/>
      <name val="Arial"/>
      <family val="2"/>
      <scheme val="minor"/>
    </font>
    <font>
      <b/>
      <sz val="9"/>
      <color rgb="FFC00000"/>
      <name val="Arial"/>
      <family val="2"/>
      <scheme val="minor"/>
    </font>
    <font>
      <b/>
      <sz val="12"/>
      <color theme="9" tint="-0.249977111117893"/>
      <name val="Arial"/>
      <family val="2"/>
      <scheme val="minor"/>
    </font>
    <font>
      <b/>
      <sz val="12"/>
      <color theme="4"/>
      <name val="Arial"/>
      <family val="2"/>
      <scheme val="minor"/>
    </font>
    <font>
      <i/>
      <sz val="10"/>
      <color theme="9" tint="-0.249977111117893"/>
      <name val="Arial"/>
      <family val="2"/>
      <scheme val="minor"/>
    </font>
    <font>
      <sz val="11"/>
      <color theme="9" tint="-0.249977111117893"/>
      <name val="Arial"/>
      <family val="2"/>
      <scheme val="minor"/>
    </font>
    <font>
      <i/>
      <sz val="11"/>
      <color theme="9" tint="-0.249977111117893"/>
      <name val="Arial"/>
      <family val="2"/>
      <scheme val="minor"/>
    </font>
    <font>
      <i/>
      <sz val="11"/>
      <color rgb="FFFF0000"/>
      <name val="Arial"/>
      <family val="2"/>
      <scheme val="minor"/>
    </font>
    <font>
      <i/>
      <sz val="11"/>
      <color theme="1"/>
      <name val="Arial"/>
      <family val="2"/>
      <scheme val="minor"/>
    </font>
    <font>
      <b/>
      <i/>
      <sz val="11"/>
      <color theme="9" tint="-0.249977111117893"/>
      <name val="Arial"/>
      <family val="2"/>
      <scheme val="minor"/>
    </font>
    <font>
      <b/>
      <sz val="11"/>
      <color theme="9" tint="-0.249977111117893"/>
      <name val="Arial"/>
      <family val="2"/>
      <scheme val="minor"/>
    </font>
    <font>
      <b/>
      <sz val="8"/>
      <color theme="3" tint="-0.499984740745262"/>
      <name val="Arial"/>
      <family val="2"/>
      <scheme val="minor"/>
    </font>
    <font>
      <sz val="9"/>
      <color theme="9" tint="-0.249977111117893"/>
      <name val="Arial"/>
      <family val="2"/>
      <scheme val="minor"/>
    </font>
    <font>
      <i/>
      <sz val="10"/>
      <color rgb="FFC00000"/>
      <name val="Arial"/>
      <family val="2"/>
      <scheme val="minor"/>
    </font>
    <font>
      <sz val="8"/>
      <color theme="1"/>
      <name val="Arial"/>
      <family val="2"/>
      <scheme val="minor"/>
    </font>
    <font>
      <sz val="9"/>
      <color theme="1" tint="0.499984740745262"/>
      <name val="Arial"/>
      <family val="2"/>
      <scheme val="minor"/>
    </font>
    <font>
      <b/>
      <sz val="14"/>
      <color theme="1"/>
      <name val="Arial"/>
      <family val="2"/>
      <scheme val="minor"/>
    </font>
    <font>
      <b/>
      <sz val="22"/>
      <color theme="9" tint="-0.499984740745262"/>
      <name val="Arial"/>
      <family val="2"/>
      <scheme val="minor"/>
    </font>
    <font>
      <b/>
      <sz val="18"/>
      <color theme="4"/>
      <name val="Arial"/>
      <family val="2"/>
      <scheme val="minor"/>
    </font>
    <font>
      <b/>
      <sz val="16"/>
      <color theme="0"/>
      <name val="Arial"/>
      <family val="2"/>
      <scheme val="minor"/>
    </font>
    <font>
      <sz val="8"/>
      <color rgb="FF2BB673"/>
      <name val="Arial"/>
      <family val="2"/>
      <scheme val="minor"/>
    </font>
    <font>
      <b/>
      <sz val="12"/>
      <color theme="3"/>
      <name val="Arial"/>
      <family val="2"/>
      <scheme val="minor"/>
    </font>
    <font>
      <sz val="12"/>
      <color theme="3"/>
      <name val="Arial"/>
      <family val="2"/>
      <scheme val="minor"/>
    </font>
    <font>
      <sz val="10"/>
      <color theme="0" tint="-0.499984740745262"/>
      <name val="Arial"/>
      <family val="2"/>
      <scheme val="minor"/>
    </font>
    <font>
      <sz val="11"/>
      <color theme="1" tint="0.249977111117893"/>
      <name val="Arial"/>
      <family val="2"/>
      <scheme val="minor"/>
    </font>
    <font>
      <b/>
      <sz val="11"/>
      <color theme="1" tint="0.249977111117893"/>
      <name val="Arial"/>
      <family val="2"/>
      <scheme val="minor"/>
    </font>
    <font>
      <b/>
      <sz val="16"/>
      <color theme="9" tint="-0.249977111117893"/>
      <name val="Arial"/>
      <family val="2"/>
      <scheme val="minor"/>
    </font>
    <font>
      <sz val="10"/>
      <color theme="9" tint="-0.249977111117893"/>
      <name val="Arial"/>
      <family val="2"/>
      <scheme val="minor"/>
    </font>
    <font>
      <sz val="10"/>
      <color theme="0"/>
      <name val="Arial"/>
      <family val="2"/>
      <scheme val="minor"/>
    </font>
    <font>
      <sz val="8"/>
      <color theme="0" tint="-0.249977111117893"/>
      <name val="Arial"/>
      <family val="2"/>
      <scheme val="minor"/>
    </font>
    <font>
      <b/>
      <sz val="9"/>
      <color theme="9" tint="-0.249977111117893"/>
      <name val="Arial"/>
      <family val="2"/>
      <scheme val="minor"/>
    </font>
    <font>
      <sz val="8"/>
      <color theme="1"/>
      <name val="Arial"/>
      <family val="2"/>
      <scheme val="minor"/>
    </font>
    <font>
      <b/>
      <sz val="8"/>
      <color theme="3" tint="-0.499984740745262"/>
      <name val="Arial"/>
      <family val="2"/>
      <scheme val="minor"/>
    </font>
    <font>
      <b/>
      <sz val="9"/>
      <color rgb="FFFF0000"/>
      <name val="Arial"/>
      <family val="2"/>
      <scheme val="minor"/>
    </font>
    <font>
      <b/>
      <sz val="8"/>
      <color rgb="FFFF0000"/>
      <name val="Arial"/>
      <family val="2"/>
      <scheme val="minor"/>
    </font>
    <font>
      <b/>
      <sz val="11"/>
      <color rgb="FFFF0000"/>
      <name val="Arial"/>
      <family val="2"/>
      <scheme val="minor"/>
    </font>
    <font>
      <b/>
      <sz val="9"/>
      <name val="Arial"/>
      <family val="2"/>
      <scheme val="minor"/>
    </font>
    <font>
      <sz val="9"/>
      <name val="Arial"/>
      <family val="2"/>
      <scheme val="minor"/>
    </font>
    <font>
      <sz val="9"/>
      <color rgb="FFFF0000"/>
      <name val="Arial"/>
      <family val="2"/>
      <scheme val="minor"/>
    </font>
    <font>
      <b/>
      <sz val="14"/>
      <color theme="0" tint="-0.249977111117893"/>
      <name val="Arial"/>
      <family val="2"/>
      <scheme val="minor"/>
    </font>
    <font>
      <b/>
      <sz val="16"/>
      <color theme="6"/>
      <name val="Arial"/>
      <family val="2"/>
      <scheme val="minor"/>
    </font>
    <font>
      <b/>
      <sz val="18"/>
      <color theme="6"/>
      <name val="Arial"/>
      <family val="2"/>
      <scheme val="minor"/>
    </font>
    <font>
      <b/>
      <sz val="12"/>
      <color theme="6"/>
      <name val="Arial"/>
      <family val="2"/>
      <scheme val="minor"/>
    </font>
    <font>
      <i/>
      <sz val="11"/>
      <color theme="0"/>
      <name val="Arial"/>
      <family val="2"/>
      <scheme val="minor"/>
    </font>
    <font>
      <sz val="9"/>
      <color theme="6"/>
      <name val="Arial"/>
      <family val="2"/>
      <scheme val="minor"/>
    </font>
    <font>
      <sz val="9"/>
      <color theme="6"/>
      <name val="Calibri"/>
      <family val="2"/>
    </font>
    <font>
      <sz val="11"/>
      <name val="Arial"/>
      <family val="2"/>
      <scheme val="minor"/>
    </font>
    <font>
      <i/>
      <sz val="8"/>
      <color theme="1" tint="0.499984740745262"/>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6"/>
        <bgColor indexed="64"/>
      </patternFill>
    </fill>
    <fill>
      <patternFill patternType="solid">
        <fgColor theme="8"/>
        <bgColor indexed="64"/>
      </patternFill>
    </fill>
    <fill>
      <patternFill patternType="solid">
        <fgColor theme="7" tint="0.79998168889431442"/>
        <bgColor indexed="64"/>
      </patternFill>
    </fill>
  </fills>
  <borders count="3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3" tint="-0.499984740745262"/>
      </bottom>
      <diagonal/>
    </border>
    <border>
      <left style="dotted">
        <color theme="3" tint="-0.499984740745262"/>
      </left>
      <right/>
      <top style="dotted">
        <color theme="3" tint="-0.499984740745262"/>
      </top>
      <bottom/>
      <diagonal/>
    </border>
    <border>
      <left/>
      <right/>
      <top style="dotted">
        <color theme="3" tint="-0.499984740745262"/>
      </top>
      <bottom/>
      <diagonal/>
    </border>
    <border>
      <left/>
      <right style="dotted">
        <color theme="3" tint="-0.499984740745262"/>
      </right>
      <top style="dotted">
        <color theme="3" tint="-0.499984740745262"/>
      </top>
      <bottom/>
      <diagonal/>
    </border>
    <border>
      <left style="dotted">
        <color theme="3" tint="-0.499984740745262"/>
      </left>
      <right/>
      <top/>
      <bottom/>
      <diagonal/>
    </border>
    <border>
      <left/>
      <right style="dotted">
        <color theme="3" tint="-0.499984740745262"/>
      </right>
      <top/>
      <bottom/>
      <diagonal/>
    </border>
    <border>
      <left style="dotted">
        <color theme="3" tint="-0.499984740745262"/>
      </left>
      <right/>
      <top/>
      <bottom style="dotted">
        <color theme="3" tint="-0.499984740745262"/>
      </bottom>
      <diagonal/>
    </border>
    <border>
      <left/>
      <right/>
      <top/>
      <bottom style="dotted">
        <color theme="3" tint="-0.499984740745262"/>
      </bottom>
      <diagonal/>
    </border>
    <border>
      <left/>
      <right style="dotted">
        <color theme="3" tint="-0.499984740745262"/>
      </right>
      <top/>
      <bottom style="dotted">
        <color theme="3" tint="-0.499984740745262"/>
      </bottom>
      <diagonal/>
    </border>
    <border>
      <left/>
      <right style="thin">
        <color theme="0" tint="-0.249977111117893"/>
      </right>
      <top/>
      <bottom/>
      <diagonal/>
    </border>
    <border>
      <left/>
      <right/>
      <top/>
      <bottom style="thin">
        <color theme="0" tint="-0.249977111117893"/>
      </bottom>
      <diagonal/>
    </border>
    <border>
      <left/>
      <right/>
      <top/>
      <bottom style="dotted">
        <color theme="9" tint="0.39997558519241921"/>
      </bottom>
      <diagonal/>
    </border>
    <border>
      <left style="dotted">
        <color theme="9"/>
      </left>
      <right/>
      <top style="dotted">
        <color theme="9"/>
      </top>
      <bottom/>
      <diagonal/>
    </border>
    <border>
      <left/>
      <right/>
      <top style="dotted">
        <color theme="9"/>
      </top>
      <bottom/>
      <diagonal/>
    </border>
    <border>
      <left/>
      <right style="dotted">
        <color theme="9"/>
      </right>
      <top style="dotted">
        <color theme="9"/>
      </top>
      <bottom/>
      <diagonal/>
    </border>
    <border>
      <left style="dotted">
        <color theme="9"/>
      </left>
      <right/>
      <top/>
      <bottom/>
      <diagonal/>
    </border>
    <border>
      <left/>
      <right style="dotted">
        <color theme="9"/>
      </right>
      <top/>
      <bottom/>
      <diagonal/>
    </border>
    <border>
      <left style="dotted">
        <color theme="9"/>
      </left>
      <right/>
      <top/>
      <bottom style="dotted">
        <color theme="9"/>
      </bottom>
      <diagonal/>
    </border>
    <border>
      <left/>
      <right/>
      <top/>
      <bottom style="dotted">
        <color theme="9"/>
      </bottom>
      <diagonal/>
    </border>
    <border>
      <left/>
      <right style="dotted">
        <color theme="9"/>
      </right>
      <top/>
      <bottom style="dotted">
        <color theme="9"/>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3">
    <xf numFmtId="170" fontId="0" fillId="0" borderId="0"/>
    <xf numFmtId="9" fontId="7" fillId="0" borderId="0" applyFont="0" applyFill="0" applyBorder="0" applyAlignment="0" applyProtection="0"/>
    <xf numFmtId="3" fontId="18" fillId="0" borderId="0"/>
  </cellStyleXfs>
  <cellXfs count="254">
    <xf numFmtId="170" fontId="0" fillId="0" borderId="0" xfId="0"/>
    <xf numFmtId="170" fontId="2" fillId="0" borderId="1" xfId="0" applyFont="1" applyBorder="1" applyAlignment="1">
      <alignment horizontal="center"/>
    </xf>
    <xf numFmtId="170" fontId="3" fillId="0" borderId="0" xfId="0" applyFont="1"/>
    <xf numFmtId="170" fontId="2" fillId="0" borderId="0" xfId="0" applyFont="1"/>
    <xf numFmtId="170" fontId="2" fillId="0" borderId="0" xfId="0" quotePrefix="1" applyFont="1"/>
    <xf numFmtId="170" fontId="5" fillId="0" borderId="0" xfId="0" applyFont="1" applyAlignment="1">
      <alignment horizontal="center"/>
    </xf>
    <xf numFmtId="170" fontId="2" fillId="0" borderId="2" xfId="0" applyFont="1" applyBorder="1"/>
    <xf numFmtId="170" fontId="3" fillId="2" borderId="1" xfId="0" applyFont="1" applyFill="1" applyBorder="1" applyAlignment="1">
      <alignment horizontal="center"/>
    </xf>
    <xf numFmtId="170" fontId="6" fillId="0" borderId="1" xfId="0" applyFont="1" applyBorder="1" applyAlignment="1">
      <alignment horizontal="center"/>
    </xf>
    <xf numFmtId="170" fontId="3" fillId="0" borderId="0" xfId="0" applyFont="1" applyBorder="1" applyAlignment="1">
      <alignment horizontal="center"/>
    </xf>
    <xf numFmtId="170" fontId="6" fillId="0" borderId="0" xfId="0" applyFont="1" applyBorder="1" applyAlignment="1">
      <alignment horizontal="center"/>
    </xf>
    <xf numFmtId="170" fontId="2" fillId="0" borderId="0" xfId="0" applyFont="1" applyBorder="1"/>
    <xf numFmtId="164" fontId="2" fillId="0" borderId="1" xfId="0" applyNumberFormat="1" applyFont="1" applyBorder="1" applyAlignment="1">
      <alignment horizontal="center"/>
    </xf>
    <xf numFmtId="170" fontId="9" fillId="0" borderId="0" xfId="0" applyFont="1"/>
    <xf numFmtId="9" fontId="2" fillId="0" borderId="1" xfId="1" applyFont="1" applyBorder="1" applyAlignment="1">
      <alignment horizontal="center"/>
    </xf>
    <xf numFmtId="170" fontId="2" fillId="0" borderId="0" xfId="0" applyFont="1" applyBorder="1" applyAlignment="1">
      <alignment horizontal="center"/>
    </xf>
    <xf numFmtId="170" fontId="12" fillId="0" borderId="0" xfId="0" applyFont="1"/>
    <xf numFmtId="170" fontId="3" fillId="2" borderId="2" xfId="0" applyFont="1" applyFill="1" applyBorder="1" applyAlignment="1">
      <alignment horizontal="center"/>
    </xf>
    <xf numFmtId="170" fontId="3" fillId="2" borderId="3" xfId="0" applyFont="1" applyFill="1" applyBorder="1" applyAlignment="1">
      <alignment horizontal="center"/>
    </xf>
    <xf numFmtId="170" fontId="2" fillId="0" borderId="0" xfId="0" applyFont="1" applyAlignment="1">
      <alignment wrapText="1"/>
    </xf>
    <xf numFmtId="170" fontId="3" fillId="2" borderId="1" xfId="0" applyFont="1" applyFill="1" applyBorder="1" applyAlignment="1">
      <alignment horizontal="center" vertical="center" wrapText="1"/>
    </xf>
    <xf numFmtId="1" fontId="2" fillId="0" borderId="0" xfId="0" applyNumberFormat="1" applyFont="1" applyBorder="1" applyAlignment="1">
      <alignment horizontal="center"/>
    </xf>
    <xf numFmtId="3" fontId="11" fillId="0" borderId="1" xfId="0" applyNumberFormat="1" applyFont="1" applyBorder="1" applyAlignment="1">
      <alignment horizontal="center"/>
    </xf>
    <xf numFmtId="165" fontId="2" fillId="0" borderId="0" xfId="0" applyNumberFormat="1" applyFont="1"/>
    <xf numFmtId="170" fontId="17" fillId="0" borderId="0" xfId="0" applyFont="1"/>
    <xf numFmtId="3" fontId="2" fillId="0" borderId="0" xfId="0" applyNumberFormat="1" applyFont="1" applyBorder="1" applyAlignment="1">
      <alignment horizontal="center"/>
    </xf>
    <xf numFmtId="4" fontId="2" fillId="0" borderId="0" xfId="0" applyNumberFormat="1" applyFont="1" applyBorder="1" applyAlignment="1">
      <alignment horizontal="center"/>
    </xf>
    <xf numFmtId="1" fontId="2" fillId="0" borderId="0" xfId="0" applyNumberFormat="1" applyFont="1"/>
    <xf numFmtId="1" fontId="19" fillId="0" borderId="0" xfId="0" applyNumberFormat="1" applyFont="1"/>
    <xf numFmtId="9" fontId="2" fillId="0" borderId="0" xfId="1" applyFont="1"/>
    <xf numFmtId="166" fontId="2" fillId="0" borderId="0" xfId="0" applyNumberFormat="1" applyFont="1"/>
    <xf numFmtId="170" fontId="2" fillId="0" borderId="2" xfId="0" applyFont="1" applyBorder="1" applyAlignment="1">
      <alignment wrapText="1"/>
    </xf>
    <xf numFmtId="170" fontId="20" fillId="0" borderId="0" xfId="0" applyFont="1" applyBorder="1" applyAlignment="1">
      <alignment horizontal="center"/>
    </xf>
    <xf numFmtId="9" fontId="2" fillId="0" borderId="0" xfId="1" applyFont="1" applyBorder="1"/>
    <xf numFmtId="3" fontId="2" fillId="0" borderId="0" xfId="0" applyNumberFormat="1" applyFont="1"/>
    <xf numFmtId="170" fontId="0" fillId="0" borderId="0" xfId="0" applyAlignment="1">
      <alignment vertical="center"/>
    </xf>
    <xf numFmtId="170" fontId="13" fillId="0" borderId="0" xfId="0" applyFont="1"/>
    <xf numFmtId="170" fontId="30" fillId="0" borderId="0" xfId="0" applyFont="1"/>
    <xf numFmtId="170" fontId="30" fillId="0" borderId="5" xfId="0" applyFont="1" applyBorder="1"/>
    <xf numFmtId="9" fontId="13" fillId="0" borderId="0" xfId="0" applyNumberFormat="1" applyFont="1"/>
    <xf numFmtId="170" fontId="16" fillId="0" borderId="0" xfId="0" applyFont="1"/>
    <xf numFmtId="170" fontId="2" fillId="4" borderId="2" xfId="0" applyFont="1" applyFill="1" applyBorder="1"/>
    <xf numFmtId="170" fontId="2" fillId="4" borderId="1" xfId="0" applyFont="1" applyFill="1" applyBorder="1"/>
    <xf numFmtId="170" fontId="3" fillId="4" borderId="1" xfId="0" applyFont="1" applyFill="1" applyBorder="1"/>
    <xf numFmtId="170" fontId="6" fillId="4" borderId="1" xfId="0" applyFont="1" applyFill="1" applyBorder="1" applyAlignment="1">
      <alignment horizontal="center"/>
    </xf>
    <xf numFmtId="2" fontId="2" fillId="4" borderId="1" xfId="0" applyNumberFormat="1" applyFont="1" applyFill="1" applyBorder="1" applyAlignment="1">
      <alignment horizontal="center"/>
    </xf>
    <xf numFmtId="2" fontId="10"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70" fontId="20" fillId="4" borderId="1" xfId="0" applyFont="1" applyFill="1" applyBorder="1" applyAlignment="1">
      <alignment horizontal="center"/>
    </xf>
    <xf numFmtId="164" fontId="10" fillId="4" borderId="1" xfId="0" applyNumberFormat="1" applyFont="1" applyFill="1" applyBorder="1" applyAlignment="1">
      <alignment horizontal="center"/>
    </xf>
    <xf numFmtId="165" fontId="10" fillId="4" borderId="1" xfId="0" applyNumberFormat="1" applyFont="1" applyFill="1" applyBorder="1" applyAlignment="1">
      <alignment horizontal="center"/>
    </xf>
    <xf numFmtId="2" fontId="3" fillId="4" borderId="1" xfId="0" applyNumberFormat="1" applyFont="1" applyFill="1" applyBorder="1" applyAlignment="1">
      <alignment horizontal="center"/>
    </xf>
    <xf numFmtId="9" fontId="2" fillId="4" borderId="1" xfId="1" applyFont="1" applyFill="1" applyBorder="1" applyAlignment="1">
      <alignment horizontal="center"/>
    </xf>
    <xf numFmtId="1" fontId="2" fillId="4" borderId="1" xfId="0" applyNumberFormat="1" applyFont="1" applyFill="1" applyBorder="1" applyAlignment="1">
      <alignment horizontal="center"/>
    </xf>
    <xf numFmtId="3" fontId="2" fillId="4" borderId="1" xfId="0" applyNumberFormat="1" applyFont="1" applyFill="1" applyBorder="1" applyAlignment="1">
      <alignment horizontal="center"/>
    </xf>
    <xf numFmtId="3" fontId="2" fillId="4" borderId="2" xfId="0" applyNumberFormat="1" applyFont="1" applyFill="1" applyBorder="1" applyAlignment="1">
      <alignment horizontal="center"/>
    </xf>
    <xf numFmtId="170" fontId="6" fillId="4" borderId="1" xfId="0" applyFont="1" applyFill="1" applyBorder="1" applyAlignment="1">
      <alignment horizontal="center" vertical="center"/>
    </xf>
    <xf numFmtId="170" fontId="2" fillId="4" borderId="2" xfId="0" applyFont="1" applyFill="1" applyBorder="1" applyAlignment="1">
      <alignment horizontal="center" vertical="center"/>
    </xf>
    <xf numFmtId="1" fontId="2" fillId="4" borderId="2" xfId="0" applyNumberFormat="1" applyFont="1" applyFill="1" applyBorder="1" applyAlignment="1">
      <alignment horizontal="center" vertical="center"/>
    </xf>
    <xf numFmtId="165" fontId="2" fillId="4" borderId="1" xfId="0" applyNumberFormat="1" applyFont="1" applyFill="1" applyBorder="1" applyAlignment="1">
      <alignment horizontal="center"/>
    </xf>
    <xf numFmtId="3" fontId="11" fillId="4" borderId="1" xfId="0" applyNumberFormat="1" applyFont="1" applyFill="1" applyBorder="1" applyAlignment="1">
      <alignment horizontal="center"/>
    </xf>
    <xf numFmtId="170" fontId="4" fillId="0" borderId="0" xfId="0" applyFont="1"/>
    <xf numFmtId="170" fontId="2" fillId="4" borderId="2" xfId="0" applyFont="1" applyFill="1" applyBorder="1" applyAlignment="1">
      <alignment wrapText="1"/>
    </xf>
    <xf numFmtId="170" fontId="4" fillId="0" borderId="14" xfId="0" applyFont="1" applyBorder="1" applyAlignment="1">
      <alignment wrapText="1"/>
    </xf>
    <xf numFmtId="170" fontId="6" fillId="4" borderId="2" xfId="0" applyFont="1" applyFill="1" applyBorder="1" applyAlignment="1">
      <alignment horizontal="center"/>
    </xf>
    <xf numFmtId="170" fontId="6" fillId="4" borderId="3" xfId="0" applyFont="1" applyFill="1" applyBorder="1" applyAlignment="1">
      <alignment horizontal="center"/>
    </xf>
    <xf numFmtId="2" fontId="11" fillId="4" borderId="1" xfId="0" applyNumberFormat="1" applyFont="1" applyFill="1" applyBorder="1" applyAlignment="1">
      <alignment horizontal="center"/>
    </xf>
    <xf numFmtId="170" fontId="34" fillId="0" borderId="0" xfId="0" applyFont="1"/>
    <xf numFmtId="170" fontId="1" fillId="5" borderId="0" xfId="0" applyFont="1" applyFill="1" applyBorder="1" applyAlignment="1">
      <alignment vertical="center"/>
    </xf>
    <xf numFmtId="170" fontId="8" fillId="5" borderId="0" xfId="0" applyFont="1" applyFill="1" applyAlignment="1">
      <alignment vertical="center"/>
    </xf>
    <xf numFmtId="170" fontId="8" fillId="5" borderId="0" xfId="0" applyFont="1" applyFill="1" applyBorder="1" applyAlignment="1">
      <alignment vertical="center"/>
    </xf>
    <xf numFmtId="170" fontId="8" fillId="0" borderId="0" xfId="0" applyFont="1" applyAlignment="1">
      <alignment vertical="center"/>
    </xf>
    <xf numFmtId="170" fontId="8" fillId="0" borderId="0" xfId="0" applyFont="1"/>
    <xf numFmtId="175" fontId="2" fillId="4" borderId="1" xfId="0" applyNumberFormat="1" applyFont="1" applyFill="1" applyBorder="1" applyAlignment="1">
      <alignment horizontal="center"/>
    </xf>
    <xf numFmtId="167" fontId="2" fillId="4" borderId="1" xfId="0" applyNumberFormat="1" applyFont="1" applyFill="1" applyBorder="1" applyAlignment="1">
      <alignment horizontal="center"/>
    </xf>
    <xf numFmtId="170" fontId="2" fillId="0" borderId="15" xfId="0" applyFont="1" applyBorder="1"/>
    <xf numFmtId="1" fontId="20" fillId="4" borderId="1" xfId="0" applyNumberFormat="1" applyFont="1" applyFill="1" applyBorder="1" applyAlignment="1">
      <alignment horizontal="center"/>
    </xf>
    <xf numFmtId="170" fontId="37" fillId="0" borderId="0" xfId="0" applyFont="1" applyAlignment="1">
      <alignment vertical="center"/>
    </xf>
    <xf numFmtId="170" fontId="0" fillId="0" borderId="16" xfId="0" applyBorder="1"/>
    <xf numFmtId="170" fontId="39" fillId="0" borderId="0" xfId="0" applyFont="1"/>
    <xf numFmtId="170" fontId="24" fillId="0" borderId="0" xfId="0" applyFont="1"/>
    <xf numFmtId="170" fontId="40" fillId="0" borderId="0" xfId="0" applyFont="1" applyFill="1" applyAlignment="1">
      <alignment vertical="center"/>
    </xf>
    <xf numFmtId="170" fontId="41" fillId="0" borderId="0" xfId="0" applyFont="1" applyFill="1" applyAlignment="1">
      <alignment vertical="center"/>
    </xf>
    <xf numFmtId="170" fontId="35" fillId="4" borderId="3" xfId="0" applyFont="1" applyFill="1" applyBorder="1" applyAlignment="1">
      <alignment horizontal="center" vertical="center" wrapText="1"/>
    </xf>
    <xf numFmtId="170" fontId="44" fillId="4" borderId="0" xfId="0" applyFont="1" applyFill="1" applyAlignment="1">
      <alignment horizontal="center" vertical="center"/>
    </xf>
    <xf numFmtId="170" fontId="43" fillId="0" borderId="0" xfId="0" applyFont="1"/>
    <xf numFmtId="176" fontId="2" fillId="0" borderId="1" xfId="0" applyNumberFormat="1" applyFont="1" applyBorder="1" applyAlignment="1">
      <alignment horizontal="center"/>
    </xf>
    <xf numFmtId="177" fontId="2" fillId="0" borderId="1" xfId="0" applyNumberFormat="1" applyFont="1" applyBorder="1" applyAlignment="1">
      <alignment horizontal="center"/>
    </xf>
    <xf numFmtId="2" fontId="2" fillId="0" borderId="1" xfId="0" applyNumberFormat="1" applyFont="1" applyBorder="1" applyAlignment="1">
      <alignment horizontal="center"/>
    </xf>
    <xf numFmtId="1" fontId="2" fillId="0" borderId="1" xfId="0" applyNumberFormat="1" applyFont="1" applyBorder="1" applyAlignment="1">
      <alignment horizontal="center"/>
    </xf>
    <xf numFmtId="176" fontId="2" fillId="0" borderId="1" xfId="0" applyNumberFormat="1" applyFont="1" applyFill="1" applyBorder="1" applyAlignment="1">
      <alignment horizontal="center"/>
    </xf>
    <xf numFmtId="176" fontId="2" fillId="4" borderId="1" xfId="0" applyNumberFormat="1" applyFont="1" applyFill="1" applyBorder="1" applyAlignment="1">
      <alignment horizontal="center"/>
    </xf>
    <xf numFmtId="0" fontId="2" fillId="4" borderId="3" xfId="0" applyNumberFormat="1" applyFont="1" applyFill="1" applyBorder="1" applyAlignment="1">
      <alignment horizontal="center"/>
    </xf>
    <xf numFmtId="176" fontId="13" fillId="0" borderId="0" xfId="0" applyNumberFormat="1" applyFont="1"/>
    <xf numFmtId="176" fontId="13" fillId="0" borderId="0" xfId="0" applyNumberFormat="1" applyFont="1" applyBorder="1"/>
    <xf numFmtId="176" fontId="33" fillId="0" borderId="0" xfId="0" applyNumberFormat="1" applyFont="1"/>
    <xf numFmtId="170" fontId="4" fillId="0" borderId="0" xfId="0" applyFont="1" applyFill="1" applyBorder="1"/>
    <xf numFmtId="170" fontId="12" fillId="0" borderId="0" xfId="0" applyFont="1" applyAlignment="1">
      <alignment horizontal="center"/>
    </xf>
    <xf numFmtId="170" fontId="2" fillId="0" borderId="0" xfId="0" applyFont="1" applyFill="1"/>
    <xf numFmtId="179" fontId="3" fillId="2" borderId="1" xfId="0" applyNumberFormat="1" applyFont="1" applyFill="1" applyBorder="1" applyAlignment="1">
      <alignment horizontal="center"/>
    </xf>
    <xf numFmtId="170" fontId="6" fillId="0" borderId="0" xfId="0" applyFont="1" applyFill="1" applyBorder="1"/>
    <xf numFmtId="176" fontId="50" fillId="0" borderId="0" xfId="0" applyNumberFormat="1" applyFont="1"/>
    <xf numFmtId="170" fontId="51" fillId="0" borderId="5" xfId="0" applyFont="1" applyBorder="1"/>
    <xf numFmtId="170" fontId="52" fillId="0" borderId="0" xfId="0" applyFont="1"/>
    <xf numFmtId="176" fontId="16" fillId="0" borderId="0" xfId="0" applyNumberFormat="1" applyFont="1" applyBorder="1"/>
    <xf numFmtId="170" fontId="53" fillId="0" borderId="0" xfId="0" applyFont="1"/>
    <xf numFmtId="49" fontId="16" fillId="0" borderId="0" xfId="0" applyNumberFormat="1" applyFont="1"/>
    <xf numFmtId="1" fontId="2" fillId="4" borderId="1" xfId="1" applyNumberFormat="1" applyFont="1" applyFill="1" applyBorder="1" applyAlignment="1">
      <alignment horizontal="center"/>
    </xf>
    <xf numFmtId="3" fontId="55" fillId="4" borderId="1" xfId="0" applyNumberFormat="1" applyFont="1" applyFill="1" applyBorder="1" applyAlignment="1">
      <alignment horizontal="center"/>
    </xf>
    <xf numFmtId="1" fontId="56" fillId="4" borderId="1" xfId="0" applyNumberFormat="1" applyFont="1" applyFill="1" applyBorder="1" applyAlignment="1">
      <alignment horizontal="center"/>
    </xf>
    <xf numFmtId="1" fontId="2" fillId="4" borderId="3" xfId="0" applyNumberFormat="1" applyFont="1" applyFill="1" applyBorder="1" applyAlignment="1">
      <alignment horizontal="center"/>
    </xf>
    <xf numFmtId="1" fontId="2" fillId="4" borderId="2" xfId="0" applyNumberFormat="1" applyFont="1" applyFill="1" applyBorder="1" applyAlignment="1">
      <alignment horizontal="center"/>
    </xf>
    <xf numFmtId="170" fontId="4" fillId="0" borderId="0" xfId="0" applyFont="1" applyBorder="1" applyAlignment="1">
      <alignment wrapText="1"/>
    </xf>
    <xf numFmtId="1" fontId="57" fillId="0" borderId="0" xfId="0" applyNumberFormat="1" applyFont="1"/>
    <xf numFmtId="178" fontId="2" fillId="0" borderId="1" xfId="0" applyNumberFormat="1" applyFont="1" applyBorder="1" applyAlignment="1">
      <alignment horizontal="center"/>
    </xf>
    <xf numFmtId="170" fontId="0" fillId="0" borderId="0" xfId="0" applyFont="1"/>
    <xf numFmtId="170" fontId="6" fillId="0" borderId="1" xfId="0" applyFont="1" applyFill="1" applyBorder="1" applyAlignment="1">
      <alignment horizontal="center"/>
    </xf>
    <xf numFmtId="1" fontId="2" fillId="0" borderId="1" xfId="0" applyNumberFormat="1" applyFont="1" applyFill="1" applyBorder="1" applyAlignment="1">
      <alignment horizontal="center"/>
    </xf>
    <xf numFmtId="3" fontId="2" fillId="0" borderId="0" xfId="0" applyNumberFormat="1" applyFont="1" applyFill="1" applyBorder="1" applyAlignment="1">
      <alignment horizontal="left"/>
    </xf>
    <xf numFmtId="170" fontId="2" fillId="0" borderId="1" xfId="0" applyFont="1" applyFill="1" applyBorder="1" applyAlignment="1">
      <alignment horizontal="center"/>
    </xf>
    <xf numFmtId="9" fontId="2" fillId="0" borderId="1" xfId="1" applyFont="1" applyFill="1" applyBorder="1" applyAlignment="1">
      <alignment horizontal="center"/>
    </xf>
    <xf numFmtId="170" fontId="59" fillId="0" borderId="0" xfId="0" applyFont="1" applyAlignment="1">
      <alignment vertical="center"/>
    </xf>
    <xf numFmtId="170" fontId="60" fillId="0" borderId="0" xfId="0" applyFont="1" applyAlignment="1">
      <alignment vertical="center"/>
    </xf>
    <xf numFmtId="170" fontId="61" fillId="0" borderId="0" xfId="0" applyFont="1" applyFill="1" applyAlignment="1">
      <alignment vertical="center"/>
    </xf>
    <xf numFmtId="170" fontId="63" fillId="0" borderId="1" xfId="0" applyFont="1" applyBorder="1" applyAlignment="1">
      <alignment horizontal="center"/>
    </xf>
    <xf numFmtId="170" fontId="64" fillId="0" borderId="1" xfId="0" applyFont="1" applyBorder="1" applyAlignment="1">
      <alignment horizontal="center"/>
    </xf>
    <xf numFmtId="170" fontId="0" fillId="0" borderId="0" xfId="0" applyProtection="1">
      <protection locked="0"/>
    </xf>
    <xf numFmtId="170" fontId="23" fillId="0" borderId="0" xfId="0" applyFont="1" applyFill="1" applyBorder="1" applyAlignment="1" applyProtection="1">
      <alignment vertical="center" wrapText="1"/>
      <protection locked="0"/>
    </xf>
    <xf numFmtId="169" fontId="46" fillId="3" borderId="4" xfId="0" applyNumberFormat="1" applyFont="1" applyFill="1" applyBorder="1" applyAlignment="1" applyProtection="1">
      <alignment horizontal="center" vertical="center" wrapText="1"/>
      <protection locked="0"/>
    </xf>
    <xf numFmtId="180" fontId="46" fillId="3" borderId="4" xfId="0" applyNumberFormat="1" applyFont="1" applyFill="1" applyBorder="1" applyAlignment="1" applyProtection="1">
      <alignment horizontal="center" vertical="center" wrapText="1"/>
      <protection locked="0"/>
    </xf>
    <xf numFmtId="9" fontId="46" fillId="3" borderId="4" xfId="1" applyFont="1" applyFill="1" applyBorder="1" applyAlignment="1" applyProtection="1">
      <alignment horizontal="center" vertical="center" wrapText="1"/>
      <protection locked="0"/>
    </xf>
    <xf numFmtId="168" fontId="46" fillId="3" borderId="4" xfId="0" applyNumberFormat="1" applyFont="1" applyFill="1" applyBorder="1" applyAlignment="1" applyProtection="1">
      <alignment horizontal="center" vertical="center" wrapText="1"/>
      <protection locked="0"/>
    </xf>
    <xf numFmtId="174" fontId="46" fillId="3" borderId="4" xfId="0" applyNumberFormat="1" applyFont="1" applyFill="1" applyBorder="1" applyAlignment="1" applyProtection="1">
      <alignment horizontal="center" vertical="center" wrapText="1"/>
      <protection locked="0"/>
    </xf>
    <xf numFmtId="170" fontId="46" fillId="4" borderId="4" xfId="0" applyFont="1" applyFill="1" applyBorder="1" applyAlignment="1" applyProtection="1">
      <alignment horizontal="center" vertical="center" wrapText="1"/>
      <protection locked="0"/>
    </xf>
    <xf numFmtId="181" fontId="46" fillId="3" borderId="4" xfId="0" applyNumberFormat="1" applyFont="1" applyFill="1" applyBorder="1" applyAlignment="1" applyProtection="1">
      <alignment horizontal="center" vertical="center" wrapText="1"/>
      <protection locked="0"/>
    </xf>
    <xf numFmtId="170" fontId="46" fillId="4" borderId="4" xfId="0" applyFont="1" applyFill="1" applyBorder="1" applyAlignment="1" applyProtection="1">
      <alignment horizontal="center" vertical="center"/>
      <protection locked="0"/>
    </xf>
    <xf numFmtId="173" fontId="46" fillId="3" borderId="4" xfId="0" applyNumberFormat="1" applyFont="1" applyFill="1" applyBorder="1" applyAlignment="1" applyProtection="1">
      <alignment horizontal="center" vertical="center" wrapText="1"/>
      <protection locked="0"/>
    </xf>
    <xf numFmtId="173" fontId="23" fillId="0" borderId="0" xfId="0" applyNumberFormat="1" applyFont="1" applyFill="1" applyBorder="1" applyAlignment="1" applyProtection="1">
      <alignment vertical="center" wrapText="1"/>
      <protection locked="0"/>
    </xf>
    <xf numFmtId="170" fontId="0" fillId="0" borderId="0" xfId="0" applyProtection="1"/>
    <xf numFmtId="170" fontId="0" fillId="0" borderId="0" xfId="0" applyFill="1" applyProtection="1"/>
    <xf numFmtId="170" fontId="60" fillId="0" borderId="0" xfId="0" applyFont="1" applyAlignment="1" applyProtection="1">
      <alignment vertical="center"/>
    </xf>
    <xf numFmtId="170" fontId="37" fillId="0" borderId="0" xfId="0" applyFont="1" applyAlignment="1" applyProtection="1">
      <alignment vertical="center"/>
    </xf>
    <xf numFmtId="170" fontId="2" fillId="0" borderId="0" xfId="0" applyFont="1" applyAlignment="1" applyProtection="1">
      <alignment vertical="center"/>
    </xf>
    <xf numFmtId="170" fontId="21" fillId="0" borderId="0" xfId="0" applyFont="1" applyAlignment="1" applyProtection="1">
      <alignment horizontal="center" vertical="center"/>
    </xf>
    <xf numFmtId="170" fontId="45" fillId="0" borderId="0" xfId="0" applyFont="1" applyFill="1" applyBorder="1" applyAlignment="1" applyProtection="1">
      <alignment vertical="center"/>
    </xf>
    <xf numFmtId="170" fontId="24" fillId="0" borderId="0" xfId="0" applyFont="1" applyFill="1" applyProtection="1"/>
    <xf numFmtId="170" fontId="8" fillId="0" borderId="0" xfId="0" applyFont="1" applyFill="1" applyProtection="1"/>
    <xf numFmtId="170" fontId="38" fillId="0" borderId="0" xfId="0" applyFont="1" applyFill="1" applyBorder="1" applyAlignment="1" applyProtection="1">
      <alignment vertical="center"/>
    </xf>
    <xf numFmtId="170" fontId="0" fillId="0" borderId="9" xfId="0" applyBorder="1" applyProtection="1"/>
    <xf numFmtId="176" fontId="1" fillId="6" borderId="0" xfId="0" applyNumberFormat="1" applyFont="1" applyFill="1" applyBorder="1" applyAlignment="1" applyProtection="1">
      <alignment horizontal="center" vertical="center"/>
    </xf>
    <xf numFmtId="170" fontId="2" fillId="0" borderId="0" xfId="0" applyFont="1" applyBorder="1" applyAlignment="1" applyProtection="1">
      <alignment vertical="center"/>
    </xf>
    <xf numFmtId="170" fontId="61" fillId="0" borderId="0" xfId="0" applyFont="1" applyFill="1" applyBorder="1" applyAlignment="1" applyProtection="1">
      <alignment vertical="center"/>
    </xf>
    <xf numFmtId="170" fontId="1" fillId="0" borderId="0" xfId="0" applyFont="1" applyFill="1" applyBorder="1" applyAlignment="1" applyProtection="1">
      <alignment horizontal="center" vertical="center"/>
    </xf>
    <xf numFmtId="170" fontId="23" fillId="0" borderId="0" xfId="0" applyFont="1" applyFill="1" applyBorder="1" applyAlignment="1" applyProtection="1">
      <alignment vertical="center" wrapText="1"/>
    </xf>
    <xf numFmtId="170" fontId="46" fillId="0" borderId="0" xfId="0" applyFont="1" applyBorder="1" applyAlignment="1" applyProtection="1">
      <alignment horizontal="left" vertical="center"/>
    </xf>
    <xf numFmtId="170" fontId="46" fillId="0" borderId="0" xfId="0" applyFont="1" applyBorder="1" applyAlignment="1" applyProtection="1">
      <alignment vertical="center"/>
    </xf>
    <xf numFmtId="170" fontId="46" fillId="0" borderId="0" xfId="0" applyFont="1" applyFill="1" applyBorder="1" applyAlignment="1" applyProtection="1">
      <alignment vertical="center" wrapText="1"/>
    </xf>
    <xf numFmtId="170" fontId="0" fillId="0" borderId="11" xfId="0" applyBorder="1" applyProtection="1"/>
    <xf numFmtId="170" fontId="2" fillId="0" borderId="12" xfId="0" applyFont="1" applyBorder="1" applyAlignment="1" applyProtection="1">
      <alignment vertical="center"/>
    </xf>
    <xf numFmtId="170" fontId="24" fillId="0" borderId="12" xfId="0" applyFont="1" applyBorder="1" applyAlignment="1" applyProtection="1">
      <alignment vertical="center"/>
    </xf>
    <xf numFmtId="170" fontId="1" fillId="0" borderId="0" xfId="0" applyFont="1" applyFill="1" applyAlignment="1" applyProtection="1">
      <alignment horizontal="center" vertical="center"/>
    </xf>
    <xf numFmtId="170" fontId="1" fillId="0" borderId="0" xfId="0" applyFont="1" applyFill="1" applyAlignment="1" applyProtection="1">
      <alignment vertical="center"/>
    </xf>
    <xf numFmtId="170" fontId="0" fillId="0" borderId="17" xfId="0" applyBorder="1" applyProtection="1"/>
    <xf numFmtId="170" fontId="2" fillId="0" borderId="18" xfId="0" applyFont="1" applyBorder="1" applyAlignment="1" applyProtection="1">
      <alignment vertical="center"/>
    </xf>
    <xf numFmtId="170" fontId="0" fillId="0" borderId="20" xfId="0" applyBorder="1" applyProtection="1"/>
    <xf numFmtId="170" fontId="22" fillId="0" borderId="0" xfId="0" applyFont="1" applyFill="1" applyBorder="1" applyAlignment="1" applyProtection="1">
      <alignment vertical="center" wrapText="1"/>
    </xf>
    <xf numFmtId="170" fontId="48" fillId="0" borderId="0" xfId="0" applyFont="1" applyFill="1" applyBorder="1" applyAlignment="1" applyProtection="1">
      <alignment vertical="top" wrapText="1"/>
    </xf>
    <xf numFmtId="170" fontId="46" fillId="0" borderId="0" xfId="0" applyFont="1" applyBorder="1" applyAlignment="1" applyProtection="1">
      <alignment horizontal="left" vertical="center" wrapText="1"/>
    </xf>
    <xf numFmtId="170" fontId="0" fillId="0" borderId="22" xfId="0" applyBorder="1" applyProtection="1"/>
    <xf numFmtId="170" fontId="2" fillId="0" borderId="23" xfId="0" applyFont="1" applyBorder="1" applyAlignment="1" applyProtection="1">
      <alignment vertical="center"/>
    </xf>
    <xf numFmtId="170" fontId="24" fillId="0" borderId="23" xfId="0" applyFont="1" applyBorder="1" applyAlignment="1" applyProtection="1">
      <alignment vertical="center"/>
    </xf>
    <xf numFmtId="170" fontId="8" fillId="0" borderId="0" xfId="0" applyFont="1" applyProtection="1"/>
    <xf numFmtId="170" fontId="24" fillId="0" borderId="0" xfId="0" applyFont="1" applyFill="1" applyAlignment="1" applyProtection="1">
      <alignment horizontal="center" vertical="center"/>
    </xf>
    <xf numFmtId="170" fontId="28" fillId="0" borderId="0" xfId="0" applyFont="1" applyFill="1" applyAlignment="1" applyProtection="1">
      <alignment horizontal="left" vertical="center"/>
    </xf>
    <xf numFmtId="170" fontId="29" fillId="0" borderId="0" xfId="0" applyFont="1" applyFill="1" applyAlignment="1" applyProtection="1">
      <alignment vertical="center"/>
    </xf>
    <xf numFmtId="170" fontId="1" fillId="0" borderId="0" xfId="0" applyFont="1" applyFill="1" applyAlignment="1" applyProtection="1">
      <alignment horizontal="left" vertical="center"/>
    </xf>
    <xf numFmtId="170" fontId="54" fillId="0" borderId="0" xfId="0" applyFont="1" applyFill="1" applyBorder="1" applyAlignment="1" applyProtection="1">
      <alignment vertical="center"/>
    </xf>
    <xf numFmtId="170" fontId="0" fillId="0" borderId="18" xfId="0" applyBorder="1" applyProtection="1"/>
    <xf numFmtId="170" fontId="61" fillId="0" borderId="0" xfId="0" applyFont="1" applyFill="1" applyBorder="1" applyAlignment="1" applyProtection="1">
      <alignment vertical="center" wrapText="1"/>
    </xf>
    <xf numFmtId="170" fontId="1" fillId="0" borderId="0" xfId="0" applyFont="1" applyFill="1" applyBorder="1" applyAlignment="1" applyProtection="1">
      <alignment vertical="center"/>
    </xf>
    <xf numFmtId="170" fontId="0" fillId="0" borderId="0" xfId="0" applyBorder="1" applyProtection="1"/>
    <xf numFmtId="170" fontId="1" fillId="0" borderId="10" xfId="0" applyFont="1" applyFill="1" applyBorder="1" applyAlignment="1" applyProtection="1">
      <alignment vertical="center"/>
    </xf>
    <xf numFmtId="170" fontId="23" fillId="0" borderId="10" xfId="0" applyFont="1" applyFill="1" applyBorder="1" applyAlignment="1" applyProtection="1">
      <alignment vertical="center" wrapText="1"/>
    </xf>
    <xf numFmtId="170" fontId="0" fillId="0" borderId="6" xfId="0" applyBorder="1" applyProtection="1"/>
    <xf numFmtId="170" fontId="2" fillId="0" borderId="7" xfId="0" applyFont="1" applyBorder="1" applyAlignment="1" applyProtection="1">
      <alignment vertical="center"/>
    </xf>
    <xf numFmtId="170" fontId="2" fillId="0" borderId="8" xfId="0" applyFont="1" applyBorder="1" applyAlignment="1" applyProtection="1">
      <alignment vertical="center"/>
    </xf>
    <xf numFmtId="170" fontId="23" fillId="0" borderId="0" xfId="0" applyFont="1" applyFill="1" applyAlignment="1" applyProtection="1">
      <alignment vertical="center" wrapText="1"/>
    </xf>
    <xf numFmtId="170" fontId="25" fillId="0" borderId="10" xfId="0" applyFont="1" applyFill="1" applyBorder="1" applyAlignment="1" applyProtection="1">
      <alignment horizontal="left" vertical="center"/>
    </xf>
    <xf numFmtId="170" fontId="24" fillId="0" borderId="0" xfId="0" applyFont="1" applyAlignment="1" applyProtection="1">
      <alignment vertical="center"/>
    </xf>
    <xf numFmtId="170" fontId="25" fillId="0" borderId="10" xfId="0" applyFont="1" applyBorder="1" applyAlignment="1" applyProtection="1">
      <alignment horizontal="left" vertical="center"/>
    </xf>
    <xf numFmtId="170" fontId="26" fillId="0" borderId="10" xfId="0" applyFont="1" applyBorder="1" applyAlignment="1" applyProtection="1">
      <alignment horizontal="left" vertical="center"/>
    </xf>
    <xf numFmtId="170" fontId="27" fillId="0" borderId="13" xfId="0" applyFont="1" applyBorder="1" applyAlignment="1" applyProtection="1">
      <alignment vertical="center"/>
    </xf>
    <xf numFmtId="170" fontId="0" fillId="0" borderId="0" xfId="0" applyAlignment="1" applyProtection="1">
      <alignment vertical="center"/>
    </xf>
    <xf numFmtId="170" fontId="0" fillId="0" borderId="12" xfId="0" applyBorder="1" applyAlignment="1" applyProtection="1">
      <alignment horizontal="center" vertical="center"/>
    </xf>
    <xf numFmtId="170" fontId="22" fillId="0" borderId="0" xfId="0" applyFont="1" applyFill="1" applyBorder="1" applyAlignment="1" applyProtection="1">
      <alignment vertical="center"/>
    </xf>
    <xf numFmtId="170" fontId="46" fillId="0" borderId="12" xfId="0" applyFont="1" applyBorder="1" applyAlignment="1" applyProtection="1">
      <alignment vertical="center"/>
    </xf>
    <xf numFmtId="173" fontId="23" fillId="0" borderId="0" xfId="0" applyNumberFormat="1" applyFont="1" applyFill="1" applyBorder="1" applyAlignment="1" applyProtection="1">
      <alignment vertical="center" wrapText="1"/>
    </xf>
    <xf numFmtId="170" fontId="17" fillId="0" borderId="12" xfId="0" applyFont="1" applyBorder="1" applyAlignment="1" applyProtection="1">
      <alignment horizontal="center" vertical="center"/>
    </xf>
    <xf numFmtId="170" fontId="2" fillId="0" borderId="19" xfId="0" applyFont="1" applyBorder="1" applyAlignment="1" applyProtection="1">
      <alignment vertical="center"/>
    </xf>
    <xf numFmtId="170" fontId="1" fillId="0" borderId="21" xfId="0" applyFont="1" applyFill="1" applyBorder="1" applyAlignment="1" applyProtection="1">
      <alignment vertical="center"/>
    </xf>
    <xf numFmtId="170" fontId="23" fillId="0" borderId="21" xfId="0" applyFont="1" applyFill="1" applyBorder="1" applyAlignment="1" applyProtection="1">
      <alignment vertical="center" wrapText="1"/>
    </xf>
    <xf numFmtId="170" fontId="25" fillId="0" borderId="21" xfId="0" applyFont="1" applyBorder="1" applyAlignment="1" applyProtection="1">
      <alignment horizontal="left" vertical="center"/>
    </xf>
    <xf numFmtId="170" fontId="27" fillId="0" borderId="24" xfId="0" applyFont="1" applyBorder="1" applyAlignment="1" applyProtection="1">
      <alignment vertical="center"/>
    </xf>
    <xf numFmtId="170" fontId="47" fillId="6" borderId="0" xfId="0" applyFont="1" applyFill="1" applyBorder="1" applyAlignment="1" applyProtection="1">
      <alignment horizontal="center" vertical="center" wrapText="1"/>
    </xf>
    <xf numFmtId="170" fontId="62" fillId="6" borderId="0" xfId="0" applyFont="1" applyFill="1" applyBorder="1" applyAlignment="1" applyProtection="1">
      <alignment horizontal="left" vertical="center"/>
    </xf>
    <xf numFmtId="170" fontId="8" fillId="6" borderId="0" xfId="0" applyFont="1" applyFill="1" applyBorder="1" applyProtection="1"/>
    <xf numFmtId="170" fontId="31" fillId="0" borderId="0" xfId="0" applyFont="1" applyBorder="1" applyAlignment="1" applyProtection="1">
      <alignment vertical="center"/>
    </xf>
    <xf numFmtId="170" fontId="23" fillId="0" borderId="0" xfId="0" applyFont="1" applyFill="1" applyBorder="1" applyAlignment="1" applyProtection="1">
      <alignment horizontal="center" vertical="center" wrapText="1"/>
    </xf>
    <xf numFmtId="170" fontId="24" fillId="0" borderId="0" xfId="0" applyFont="1" applyBorder="1" applyProtection="1"/>
    <xf numFmtId="170" fontId="49" fillId="0" borderId="0" xfId="0" applyFont="1" applyFill="1" applyBorder="1" applyAlignment="1" applyProtection="1">
      <alignment horizontal="center" vertical="center"/>
    </xf>
    <xf numFmtId="170" fontId="32" fillId="0" borderId="0" xfId="0" applyFont="1" applyFill="1" applyBorder="1" applyAlignment="1" applyProtection="1">
      <alignment vertical="center" wrapText="1"/>
    </xf>
    <xf numFmtId="170" fontId="47" fillId="6" borderId="0" xfId="0" applyNumberFormat="1" applyFont="1" applyFill="1" applyBorder="1" applyAlignment="1" applyProtection="1">
      <alignment horizontal="center" vertical="center" wrapText="1"/>
    </xf>
    <xf numFmtId="171" fontId="47" fillId="6" borderId="0" xfId="0" applyNumberFormat="1" applyFont="1" applyFill="1" applyBorder="1" applyAlignment="1" applyProtection="1">
      <alignment horizontal="center" vertical="center" wrapText="1"/>
    </xf>
    <xf numFmtId="172" fontId="47" fillId="6" borderId="0" xfId="0" applyNumberFormat="1" applyFont="1" applyFill="1" applyBorder="1" applyAlignment="1" applyProtection="1">
      <alignment horizontal="center" vertical="center" wrapText="1"/>
    </xf>
    <xf numFmtId="170" fontId="0" fillId="0" borderId="23" xfId="0" applyBorder="1" applyAlignment="1" applyProtection="1">
      <alignment horizontal="center" vertical="center"/>
    </xf>
    <xf numFmtId="170" fontId="27" fillId="0" borderId="23" xfId="0" applyFont="1" applyBorder="1" applyAlignment="1" applyProtection="1">
      <alignment vertical="center"/>
    </xf>
    <xf numFmtId="170" fontId="0" fillId="0" borderId="23" xfId="0" applyBorder="1" applyAlignment="1" applyProtection="1">
      <alignment vertical="center"/>
    </xf>
    <xf numFmtId="170" fontId="0" fillId="0" borderId="23" xfId="0" applyBorder="1" applyProtection="1"/>
    <xf numFmtId="3" fontId="47" fillId="0" borderId="0" xfId="0" applyNumberFormat="1" applyFont="1" applyFill="1" applyBorder="1" applyAlignment="1" applyProtection="1">
      <alignment horizontal="center" vertical="center" wrapText="1"/>
    </xf>
    <xf numFmtId="170" fontId="65" fillId="0" borderId="0" xfId="0" applyFont="1" applyProtection="1"/>
    <xf numFmtId="182" fontId="2" fillId="0" borderId="2" xfId="0" applyNumberFormat="1" applyFont="1" applyBorder="1" applyAlignment="1">
      <alignment horizontal="center"/>
    </xf>
    <xf numFmtId="170" fontId="8" fillId="0" borderId="0" xfId="0" applyFont="1" applyAlignment="1">
      <alignment horizontal="right"/>
    </xf>
    <xf numFmtId="170" fontId="65" fillId="0" borderId="0" xfId="0" applyFont="1" applyAlignment="1">
      <alignment horizontal="right"/>
    </xf>
    <xf numFmtId="170" fontId="65" fillId="0" borderId="0" xfId="0" applyFont="1" applyProtection="1">
      <protection locked="0"/>
    </xf>
    <xf numFmtId="170" fontId="8" fillId="0" borderId="0" xfId="0" applyFont="1" applyAlignment="1" applyProtection="1">
      <alignment horizontal="right"/>
    </xf>
    <xf numFmtId="170" fontId="46" fillId="0" borderId="0" xfId="0" applyFont="1" applyBorder="1" applyAlignment="1">
      <alignment horizontal="left" vertical="center" wrapText="1"/>
    </xf>
    <xf numFmtId="170" fontId="8" fillId="7" borderId="0" xfId="0" applyFont="1" applyFill="1" applyBorder="1" applyAlignment="1" applyProtection="1">
      <alignment horizontal="center"/>
    </xf>
    <xf numFmtId="170" fontId="0" fillId="7" borderId="0" xfId="0" applyFill="1" applyBorder="1" applyAlignment="1" applyProtection="1">
      <alignment horizontal="center"/>
    </xf>
    <xf numFmtId="170" fontId="0" fillId="0" borderId="0" xfId="0" applyBorder="1" applyProtection="1">
      <protection locked="0"/>
    </xf>
    <xf numFmtId="170" fontId="8" fillId="0" borderId="0" xfId="0" applyFont="1" applyBorder="1" applyProtection="1"/>
    <xf numFmtId="165" fontId="65" fillId="8" borderId="0" xfId="0" applyNumberFormat="1" applyFont="1" applyFill="1" applyBorder="1" applyAlignment="1" applyProtection="1">
      <alignment horizontal="center"/>
    </xf>
    <xf numFmtId="170" fontId="65" fillId="8" borderId="0" xfId="0" applyFont="1" applyFill="1" applyBorder="1" applyAlignment="1" applyProtection="1">
      <alignment horizontal="center"/>
    </xf>
    <xf numFmtId="170" fontId="0" fillId="0" borderId="25" xfId="0" applyBorder="1" applyProtection="1"/>
    <xf numFmtId="170" fontId="0" fillId="0" borderId="26" xfId="0" applyBorder="1" applyProtection="1"/>
    <xf numFmtId="170" fontId="0" fillId="0" borderId="27" xfId="0" applyBorder="1" applyProtection="1"/>
    <xf numFmtId="170" fontId="0" fillId="0" borderId="28" xfId="0" applyBorder="1" applyProtection="1"/>
    <xf numFmtId="170" fontId="0" fillId="0" borderId="29" xfId="0" applyBorder="1" applyProtection="1"/>
    <xf numFmtId="170" fontId="0" fillId="0" borderId="30" xfId="0" applyBorder="1" applyProtection="1"/>
    <xf numFmtId="170" fontId="0" fillId="0" borderId="31" xfId="0" applyBorder="1" applyProtection="1"/>
    <xf numFmtId="170" fontId="0" fillId="0" borderId="32" xfId="0" applyBorder="1" applyProtection="1"/>
    <xf numFmtId="2" fontId="2" fillId="0" borderId="0" xfId="0" applyNumberFormat="1" applyFont="1"/>
    <xf numFmtId="0" fontId="2" fillId="0" borderId="0" xfId="0" applyNumberFormat="1" applyFont="1"/>
    <xf numFmtId="0" fontId="2" fillId="0" borderId="0" xfId="0" applyNumberFormat="1" applyFont="1" applyAlignment="1">
      <alignment horizontal="right"/>
    </xf>
    <xf numFmtId="0" fontId="57" fillId="0" borderId="0" xfId="0" applyNumberFormat="1" applyFont="1"/>
    <xf numFmtId="170" fontId="66" fillId="0" borderId="0" xfId="0" applyFont="1" applyFill="1" applyBorder="1" applyAlignment="1" applyProtection="1">
      <alignment vertical="center" wrapText="1"/>
    </xf>
    <xf numFmtId="170" fontId="24" fillId="0" borderId="0" xfId="0" applyFont="1" applyAlignment="1">
      <alignment horizontal="left" vertical="center" wrapText="1"/>
    </xf>
    <xf numFmtId="170" fontId="36" fillId="0" borderId="0" xfId="0" applyFont="1" applyAlignment="1">
      <alignment horizontal="left" vertical="center"/>
    </xf>
    <xf numFmtId="170" fontId="24" fillId="0" borderId="0" xfId="0" applyFont="1" applyAlignment="1">
      <alignment horizontal="left" wrapText="1"/>
    </xf>
    <xf numFmtId="170" fontId="58" fillId="0" borderId="0" xfId="0" applyFont="1" applyAlignment="1">
      <alignment horizontal="left" vertical="center"/>
    </xf>
    <xf numFmtId="170" fontId="43" fillId="0" borderId="0" xfId="0" applyFont="1" applyFill="1" applyAlignment="1">
      <alignment horizontal="left" vertical="center" wrapText="1"/>
    </xf>
    <xf numFmtId="170" fontId="43" fillId="0" borderId="0" xfId="0" applyFont="1" applyAlignment="1">
      <alignment horizontal="left" vertical="center" wrapText="1"/>
    </xf>
    <xf numFmtId="170" fontId="59" fillId="0" borderId="0" xfId="0" applyFont="1" applyAlignment="1">
      <alignment horizontal="left" vertical="center"/>
    </xf>
    <xf numFmtId="170" fontId="43" fillId="0" borderId="0" xfId="0" applyFont="1" applyAlignment="1" applyProtection="1">
      <alignment horizontal="left" wrapText="1"/>
    </xf>
    <xf numFmtId="170" fontId="43" fillId="0" borderId="0" xfId="0" applyFont="1" applyAlignment="1">
      <alignment horizontal="left" wrapText="1"/>
    </xf>
  </cellXfs>
  <cellStyles count="3">
    <cellStyle name="Comma0" xfId="2" xr:uid="{00000000-0005-0000-0000-000000000000}"/>
    <cellStyle name="Normal" xfId="0" builtinId="0"/>
    <cellStyle name="Percent" xfId="1" builtinId="5"/>
  </cellStyles>
  <dxfs count="45">
    <dxf>
      <font>
        <color theme="0"/>
      </font>
      <fill>
        <patternFill patternType="none">
          <bgColor auto="1"/>
        </patternFill>
      </fill>
      <border>
        <left/>
        <right/>
        <top/>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dxf>
    <dxf>
      <fill>
        <patternFill patternType="none">
          <bgColor auto="1"/>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8"/>
        <color theme="1"/>
        <name val="Arial"/>
        <scheme val="minor"/>
      </font>
      <numFmt numFmtId="176" formatCode="#,##0_ ;\-#,##0\ "/>
    </dxf>
    <dxf>
      <font>
        <b val="0"/>
        <i val="0"/>
        <strike val="0"/>
        <condense val="0"/>
        <extend val="0"/>
        <outline val="0"/>
        <shadow val="0"/>
        <u val="none"/>
        <vertAlign val="baseline"/>
        <sz val="8"/>
        <color theme="1"/>
        <name val="Arial"/>
        <scheme val="minor"/>
      </font>
      <numFmt numFmtId="176" formatCode="#,##0_ ;\-#,##0\ "/>
    </dxf>
    <dxf>
      <font>
        <b val="0"/>
        <i val="0"/>
        <strike val="0"/>
        <condense val="0"/>
        <extend val="0"/>
        <outline val="0"/>
        <shadow val="0"/>
        <u val="none"/>
        <vertAlign val="baseline"/>
        <sz val="8"/>
        <color theme="1"/>
        <name val="Arial"/>
        <scheme val="minor"/>
      </font>
      <numFmt numFmtId="176" formatCode="#,##0_ ;\-#,##0\ "/>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numFmt numFmtId="176" formatCode="#,##0_ ;\-#,##0\ "/>
    </dxf>
    <dxf>
      <font>
        <b val="0"/>
        <i val="0"/>
        <strike val="0"/>
        <condense val="0"/>
        <extend val="0"/>
        <outline val="0"/>
        <shadow val="0"/>
        <u val="none"/>
        <vertAlign val="baseline"/>
        <sz val="8"/>
        <color theme="1"/>
        <name val="Arial"/>
        <scheme val="minor"/>
      </font>
      <numFmt numFmtId="176" formatCode="#,##0_ ;\-#,##0\ "/>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dxf>
    <dxf>
      <font>
        <b val="0"/>
        <i val="0"/>
        <strike val="0"/>
        <condense val="0"/>
        <extend val="0"/>
        <outline val="0"/>
        <shadow val="0"/>
        <u val="none"/>
        <vertAlign val="baseline"/>
        <sz val="8"/>
        <color theme="1"/>
        <name val="Arial"/>
        <scheme val="minor"/>
      </font>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numFmt numFmtId="13" formatCode="0%"/>
    </dxf>
    <dxf>
      <font>
        <b val="0"/>
        <i val="0"/>
        <strike val="0"/>
        <condense val="0"/>
        <extend val="0"/>
        <outline val="0"/>
        <shadow val="0"/>
        <u val="none"/>
        <vertAlign val="baseline"/>
        <sz val="8"/>
        <color theme="1"/>
        <name val="Arial"/>
        <scheme val="minor"/>
      </font>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dxf>
    <dxf>
      <font>
        <b val="0"/>
        <i val="0"/>
        <strike val="0"/>
        <condense val="0"/>
        <extend val="0"/>
        <outline val="0"/>
        <shadow val="0"/>
        <u val="none"/>
        <vertAlign val="baseline"/>
        <sz val="8"/>
        <color theme="1"/>
        <name val="Arial"/>
        <scheme val="minor"/>
      </font>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numFmt numFmtId="176" formatCode="#,##0_ ;\-#,##0\ "/>
    </dxf>
    <dxf>
      <font>
        <b val="0"/>
        <i val="0"/>
        <strike val="0"/>
        <condense val="0"/>
        <extend val="0"/>
        <outline val="0"/>
        <shadow val="0"/>
        <u val="none"/>
        <vertAlign val="baseline"/>
        <sz val="8"/>
        <color theme="1"/>
        <name val="Arial"/>
        <scheme val="minor"/>
      </font>
      <numFmt numFmtId="176" formatCode="#,##0_ ;\-#,##0\ "/>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dxf>
    <dxf>
      <font>
        <b val="0"/>
        <i val="0"/>
        <strike val="0"/>
        <condense val="0"/>
        <extend val="0"/>
        <outline val="0"/>
        <shadow val="0"/>
        <u val="none"/>
        <vertAlign val="baseline"/>
        <sz val="8"/>
        <color theme="1"/>
        <name val="Arial"/>
        <scheme val="minor"/>
      </font>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font>
        <b val="0"/>
        <i val="0"/>
        <strike val="0"/>
        <condense val="0"/>
        <extend val="0"/>
        <outline val="0"/>
        <shadow val="0"/>
        <u val="none"/>
        <vertAlign val="baseline"/>
        <sz val="8"/>
        <color theme="1"/>
        <name val="Arial"/>
        <scheme val="minor"/>
      </font>
    </dxf>
    <dxf>
      <font>
        <b val="0"/>
        <i val="0"/>
        <strike val="0"/>
        <condense val="0"/>
        <extend val="0"/>
        <outline val="0"/>
        <shadow val="0"/>
        <u val="none"/>
        <vertAlign val="baseline"/>
        <sz val="8"/>
        <color theme="1"/>
        <name val="Arial"/>
        <scheme val="minor"/>
      </font>
    </dxf>
    <dxf>
      <border outline="0">
        <bottom style="thin">
          <color theme="3" tint="-0.499984740745262"/>
        </bottom>
      </border>
    </dxf>
    <dxf>
      <font>
        <b/>
        <i val="0"/>
        <strike val="0"/>
        <condense val="0"/>
        <extend val="0"/>
        <outline val="0"/>
        <shadow val="0"/>
        <u val="none"/>
        <vertAlign val="baseline"/>
        <sz val="8"/>
        <color theme="3" tint="-0.499984740745262"/>
        <name val="Arial"/>
        <scheme val="minor"/>
      </font>
    </dxf>
    <dxf>
      <border>
        <left/>
        <right/>
        <top/>
        <bottom/>
        <vertical/>
        <horizontal/>
      </border>
    </dxf>
  </dxfs>
  <tableStyles count="1" defaultTableStyle="TableStyleMedium2" defaultPivotStyle="PivotStyleMedium9">
    <tableStyle name="Table Style 1" pivot="0" count="1" xr9:uid="{00000000-0011-0000-FFFF-FFFF00000000}">
      <tableStyleElement type="wholeTable" dxfId="44"/>
    </tableStyle>
  </tableStyles>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69094101983396"/>
          <c:y val="2.8293533358015072E-2"/>
          <c:w val="0.70598904469011714"/>
          <c:h val="0.64231699342102366"/>
        </c:manualLayout>
      </c:layout>
      <c:barChart>
        <c:barDir val="col"/>
        <c:grouping val="clustered"/>
        <c:varyColors val="0"/>
        <c:ser>
          <c:idx val="0"/>
          <c:order val="0"/>
          <c:tx>
            <c:v>Methane Abatement Cost</c:v>
          </c:tx>
          <c:spPr>
            <a:solidFill>
              <a:schemeClr val="tx1">
                <a:lumMod val="65000"/>
                <a:lumOff val="35000"/>
              </a:schemeClr>
            </a:solidFill>
            <a:ln>
              <a:noFill/>
            </a:ln>
            <a:effectLst/>
          </c:spPr>
          <c:invertIfNegative val="0"/>
          <c:cat>
            <c:strRef>
              <c:f>DASHBOARD!$V$12:$V$14</c:f>
              <c:strCache>
                <c:ptCount val="3"/>
                <c:pt idx="0">
                  <c:v>A. Electronic Controllers</c:v>
                </c:pt>
                <c:pt idx="1">
                  <c:v>B.  Instrument Air - Electricity on site</c:v>
                </c:pt>
                <c:pt idx="2">
                  <c:v>C. Solar Powered Instrument Air</c:v>
                </c:pt>
              </c:strCache>
            </c:strRef>
          </c:cat>
          <c:val>
            <c:numRef>
              <c:f>DASHBOARD!$W$12:$W$14</c:f>
              <c:numCache>
                <c:formatCode>[$$-C09]#,##0;\-[$$-C09]#,##0</c:formatCode>
                <c:ptCount val="3"/>
                <c:pt idx="0">
                  <c:v>245.07668862314571</c:v>
                </c:pt>
                <c:pt idx="1">
                  <c:v>0</c:v>
                </c:pt>
                <c:pt idx="2">
                  <c:v>0</c:v>
                </c:pt>
              </c:numCache>
            </c:numRef>
          </c:val>
          <c:extLst>
            <c:ext xmlns:c16="http://schemas.microsoft.com/office/drawing/2014/chart" uri="{C3380CC4-5D6E-409C-BE32-E72D297353CC}">
              <c16:uniqueId val="{00000000-E30B-4032-82E1-A3AB0CF32761}"/>
            </c:ext>
          </c:extLst>
        </c:ser>
        <c:dLbls>
          <c:showLegendKey val="0"/>
          <c:showVal val="0"/>
          <c:showCatName val="0"/>
          <c:showSerName val="0"/>
          <c:showPercent val="0"/>
          <c:showBubbleSize val="0"/>
        </c:dLbls>
        <c:gapWidth val="219"/>
        <c:overlap val="-27"/>
        <c:axId val="1179931872"/>
        <c:axId val="1179932704"/>
      </c:barChart>
      <c:lineChart>
        <c:grouping val="standard"/>
        <c:varyColors val="0"/>
        <c:ser>
          <c:idx val="1"/>
          <c:order val="1"/>
          <c:tx>
            <c:v>Social cost of methane</c:v>
          </c:tx>
          <c:spPr>
            <a:ln w="28575" cap="rnd">
              <a:solidFill>
                <a:schemeClr val="tx2"/>
              </a:solidFill>
              <a:round/>
            </a:ln>
            <a:effectLst/>
          </c:spPr>
          <c:marker>
            <c:symbol val="none"/>
          </c:marker>
          <c:cat>
            <c:strRef>
              <c:f>DASHBOARD!$V$12:$V$14</c:f>
              <c:strCache>
                <c:ptCount val="3"/>
                <c:pt idx="0">
                  <c:v>A. Electronic Controllers</c:v>
                </c:pt>
                <c:pt idx="1">
                  <c:v>B.  Instrument Air - Electricity on site</c:v>
                </c:pt>
                <c:pt idx="2">
                  <c:v>C. Solar Powered Instrument Air</c:v>
                </c:pt>
              </c:strCache>
            </c:strRef>
          </c:cat>
          <c:val>
            <c:numRef>
              <c:f>DASHBOARD!$X$12:$X$14</c:f>
              <c:numCache>
                <c:formatCode>[$$-C09]#,##0;\-[$$-C09]#,##0</c:formatCode>
                <c:ptCount val="3"/>
                <c:pt idx="0">
                  <c:v>1500</c:v>
                </c:pt>
                <c:pt idx="1">
                  <c:v>1500</c:v>
                </c:pt>
                <c:pt idx="2">
                  <c:v>1500</c:v>
                </c:pt>
              </c:numCache>
            </c:numRef>
          </c:val>
          <c:smooth val="0"/>
          <c:extLst>
            <c:ext xmlns:c16="http://schemas.microsoft.com/office/drawing/2014/chart" uri="{C3380CC4-5D6E-409C-BE32-E72D297353CC}">
              <c16:uniqueId val="{00000001-E30B-4032-82E1-A3AB0CF32761}"/>
            </c:ext>
          </c:extLst>
        </c:ser>
        <c:dLbls>
          <c:showLegendKey val="0"/>
          <c:showVal val="0"/>
          <c:showCatName val="0"/>
          <c:showSerName val="0"/>
          <c:showPercent val="0"/>
          <c:showBubbleSize val="0"/>
        </c:dLbls>
        <c:marker val="1"/>
        <c:smooth val="0"/>
        <c:axId val="1179931872"/>
        <c:axId val="1179932704"/>
      </c:lineChart>
      <c:catAx>
        <c:axId val="117993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9932704"/>
        <c:crosses val="autoZero"/>
        <c:auto val="1"/>
        <c:lblAlgn val="ctr"/>
        <c:lblOffset val="100"/>
        <c:noMultiLvlLbl val="0"/>
      </c:catAx>
      <c:valAx>
        <c:axId val="1179932704"/>
        <c:scaling>
          <c:orientation val="minMax"/>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USD/tCH4</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C09]#,##0;\-[$$-C09]#,##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9931872"/>
        <c:crosses val="autoZero"/>
        <c:crossBetween val="between"/>
      </c:valAx>
      <c:spPr>
        <a:noFill/>
        <a:ln>
          <a:noFill/>
        </a:ln>
        <a:effectLst/>
      </c:spPr>
    </c:plotArea>
    <c:legend>
      <c:legendPos val="r"/>
      <c:layout>
        <c:manualLayout>
          <c:xMode val="edge"/>
          <c:yMode val="edge"/>
          <c:x val="4.7829964978733507E-2"/>
          <c:y val="0.87823431339270452"/>
          <c:w val="0.88837703253174616"/>
          <c:h val="0.121765746614008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HOME!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262458</xdr:colOff>
      <xdr:row>1</xdr:row>
      <xdr:rowOff>7411</xdr:rowOff>
    </xdr:from>
    <xdr:to>
      <xdr:col>18</xdr:col>
      <xdr:colOff>8939</xdr:colOff>
      <xdr:row>2</xdr:row>
      <xdr:rowOff>85728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10791" y="187328"/>
          <a:ext cx="2494973" cy="25505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2038350</xdr:colOff>
      <xdr:row>1</xdr:row>
      <xdr:rowOff>0</xdr:rowOff>
    </xdr:from>
    <xdr:to>
      <xdr:col>14</xdr:col>
      <xdr:colOff>1039063</xdr:colOff>
      <xdr:row>2</xdr:row>
      <xdr:rowOff>76528</xdr:rowOff>
    </xdr:to>
    <xdr:pic>
      <xdr:nvPicPr>
        <xdr:cNvPr id="2" name="Picture 1">
          <a:extLst>
            <a:ext uri="{FF2B5EF4-FFF2-40B4-BE49-F238E27FC236}">
              <a16:creationId xmlns:a16="http://schemas.microsoft.com/office/drawing/2014/main" id="{B2FB95B1-EA3B-42FB-A72F-6D995F9D45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180975"/>
          <a:ext cx="2494800" cy="257503"/>
        </a:xfrm>
        <a:prstGeom prst="rect">
          <a:avLst/>
        </a:prstGeom>
        <a:noFill/>
        <a:ln>
          <a:noFill/>
        </a:ln>
      </xdr:spPr>
    </xdr:pic>
    <xdr:clientData/>
  </xdr:twoCellAnchor>
  <xdr:twoCellAnchor editAs="absolute">
    <xdr:from>
      <xdr:col>3</xdr:col>
      <xdr:colOff>20640</xdr:colOff>
      <xdr:row>1</xdr:row>
      <xdr:rowOff>7408</xdr:rowOff>
    </xdr:from>
    <xdr:to>
      <xdr:col>4</xdr:col>
      <xdr:colOff>2010835</xdr:colOff>
      <xdr:row>3</xdr:row>
      <xdr:rowOff>11641</xdr:rowOff>
    </xdr:to>
    <xdr:grpSp>
      <xdr:nvGrpSpPr>
        <xdr:cNvPr id="3" name="Group 2">
          <a:hlinkClick xmlns:r="http://schemas.openxmlformats.org/officeDocument/2006/relationships" r:id="rId2"/>
          <a:extLst>
            <a:ext uri="{FF2B5EF4-FFF2-40B4-BE49-F238E27FC236}">
              <a16:creationId xmlns:a16="http://schemas.microsoft.com/office/drawing/2014/main" id="{D2479DE4-4BA1-4BD0-96FF-A9EF4E4AA865}"/>
            </a:ext>
          </a:extLst>
        </xdr:cNvPr>
        <xdr:cNvGrpSpPr/>
      </xdr:nvGrpSpPr>
      <xdr:grpSpPr>
        <a:xfrm>
          <a:off x="693740" y="185208"/>
          <a:ext cx="2079095" cy="359833"/>
          <a:chOff x="766234" y="162984"/>
          <a:chExt cx="2084916" cy="370416"/>
        </a:xfrm>
      </xdr:grpSpPr>
      <xdr:sp macro="" textlink="">
        <xdr:nvSpPr>
          <xdr:cNvPr id="4" name="Rectangle 3">
            <a:extLst>
              <a:ext uri="{FF2B5EF4-FFF2-40B4-BE49-F238E27FC236}">
                <a16:creationId xmlns:a16="http://schemas.microsoft.com/office/drawing/2014/main" id="{52BC2CA6-2BD1-4CC8-A3E5-1531F123CD48}"/>
              </a:ext>
            </a:extLst>
          </xdr:cNvPr>
          <xdr:cNvSpPr/>
        </xdr:nvSpPr>
        <xdr:spPr>
          <a:xfrm>
            <a:off x="766234" y="162984"/>
            <a:ext cx="2084916" cy="370416"/>
          </a:xfrm>
          <a:prstGeom prst="rect">
            <a:avLst/>
          </a:prstGeom>
          <a:noFill/>
          <a:ln w="12700">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200" b="1">
                <a:solidFill>
                  <a:schemeClr val="tx1">
                    <a:lumMod val="50000"/>
                    <a:lumOff val="50000"/>
                  </a:schemeClr>
                </a:solidFill>
              </a:rPr>
              <a:t>Back to HOME tab</a:t>
            </a:r>
          </a:p>
        </xdr:txBody>
      </xdr:sp>
      <xdr:cxnSp macro="">
        <xdr:nvCxnSpPr>
          <xdr:cNvPr id="5" name="Straight Arrow Connector 4">
            <a:extLst>
              <a:ext uri="{FF2B5EF4-FFF2-40B4-BE49-F238E27FC236}">
                <a16:creationId xmlns:a16="http://schemas.microsoft.com/office/drawing/2014/main" id="{DE2BCA40-2D95-4C65-BE14-0CE1F4C6BF08}"/>
              </a:ext>
            </a:extLst>
          </xdr:cNvPr>
          <xdr:cNvCxnSpPr/>
        </xdr:nvCxnSpPr>
        <xdr:spPr>
          <a:xfrm flipH="1">
            <a:off x="861484" y="342901"/>
            <a:ext cx="433917" cy="0"/>
          </a:xfrm>
          <a:prstGeom prst="straightConnector1">
            <a:avLst/>
          </a:prstGeom>
          <a:ln w="28575">
            <a:solidFill>
              <a:schemeClr val="tx1">
                <a:lumMod val="50000"/>
                <a:lumOff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214313</xdr:colOff>
      <xdr:row>9</xdr:row>
      <xdr:rowOff>107156</xdr:rowOff>
    </xdr:from>
    <xdr:to>
      <xdr:col>21</xdr:col>
      <xdr:colOff>142874</xdr:colOff>
      <xdr:row>34</xdr:row>
      <xdr:rowOff>0</xdr:rowOff>
    </xdr:to>
    <xdr:graphicFrame macro="">
      <xdr:nvGraphicFramePr>
        <xdr:cNvPr id="6" name="Chart 5">
          <a:extLst>
            <a:ext uri="{FF2B5EF4-FFF2-40B4-BE49-F238E27FC236}">
              <a16:creationId xmlns:a16="http://schemas.microsoft.com/office/drawing/2014/main" id="{7EAC6D73-F32C-4A4D-8C00-DE3D6EA63A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377038</xdr:colOff>
      <xdr:row>1</xdr:row>
      <xdr:rowOff>17200</xdr:rowOff>
    </xdr:from>
    <xdr:to>
      <xdr:col>5</xdr:col>
      <xdr:colOff>6930</xdr:colOff>
      <xdr:row>2</xdr:row>
      <xdr:rowOff>123883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788" y="197117"/>
          <a:ext cx="2494800" cy="283424"/>
        </a:xfrm>
        <a:prstGeom prst="rect">
          <a:avLst/>
        </a:prstGeom>
        <a:noFill/>
        <a:ln>
          <a:noFill/>
        </a:ln>
      </xdr:spPr>
    </xdr:pic>
    <xdr:clientData/>
  </xdr:twoCellAnchor>
  <xdr:twoCellAnchor editAs="absolute">
    <xdr:from>
      <xdr:col>1</xdr:col>
      <xdr:colOff>26978</xdr:colOff>
      <xdr:row>1</xdr:row>
      <xdr:rowOff>9791</xdr:rowOff>
    </xdr:from>
    <xdr:to>
      <xdr:col>1</xdr:col>
      <xdr:colOff>2105544</xdr:colOff>
      <xdr:row>3</xdr:row>
      <xdr:rowOff>19845</xdr:rowOff>
    </xdr:to>
    <xdr:grpSp>
      <xdr:nvGrpSpPr>
        <xdr:cNvPr id="3" name="Group 2">
          <a:hlinkClick xmlns:r="http://schemas.openxmlformats.org/officeDocument/2006/relationships" r:id="rId2"/>
          <a:extLst>
            <a:ext uri="{FF2B5EF4-FFF2-40B4-BE49-F238E27FC236}">
              <a16:creationId xmlns:a16="http://schemas.microsoft.com/office/drawing/2014/main" id="{00000000-0008-0000-0300-000003000000}"/>
            </a:ext>
          </a:extLst>
        </xdr:cNvPr>
        <xdr:cNvGrpSpPr/>
      </xdr:nvGrpSpPr>
      <xdr:grpSpPr>
        <a:xfrm>
          <a:off x="716407" y="191220"/>
          <a:ext cx="2078566" cy="372911"/>
          <a:chOff x="766234" y="162984"/>
          <a:chExt cx="2084916" cy="370416"/>
        </a:xfrm>
      </xdr:grpSpPr>
      <xdr:sp macro="" textlink="">
        <xdr:nvSpPr>
          <xdr:cNvPr id="4" name="Rectangle 3">
            <a:extLst>
              <a:ext uri="{FF2B5EF4-FFF2-40B4-BE49-F238E27FC236}">
                <a16:creationId xmlns:a16="http://schemas.microsoft.com/office/drawing/2014/main" id="{00000000-0008-0000-0300-000004000000}"/>
              </a:ext>
            </a:extLst>
          </xdr:cNvPr>
          <xdr:cNvSpPr/>
        </xdr:nvSpPr>
        <xdr:spPr>
          <a:xfrm>
            <a:off x="766234" y="162984"/>
            <a:ext cx="2084916" cy="370416"/>
          </a:xfrm>
          <a:prstGeom prst="rect">
            <a:avLst/>
          </a:prstGeom>
          <a:noFill/>
          <a:ln w="12700">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200" b="1">
                <a:solidFill>
                  <a:schemeClr val="tx1">
                    <a:lumMod val="50000"/>
                    <a:lumOff val="50000"/>
                  </a:schemeClr>
                </a:solidFill>
              </a:rPr>
              <a:t>Back to HOME tab</a:t>
            </a:r>
          </a:p>
        </xdr:txBody>
      </xdr:sp>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61484" y="342901"/>
            <a:ext cx="433917" cy="0"/>
          </a:xfrm>
          <a:prstGeom prst="straightConnector1">
            <a:avLst/>
          </a:prstGeom>
          <a:ln w="28575">
            <a:solidFill>
              <a:schemeClr val="tx1">
                <a:lumMod val="50000"/>
                <a:lumOff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63491</xdr:colOff>
      <xdr:row>1</xdr:row>
      <xdr:rowOff>10584</xdr:rowOff>
    </xdr:from>
    <xdr:to>
      <xdr:col>11</xdr:col>
      <xdr:colOff>652</xdr:colOff>
      <xdr:row>2</xdr:row>
      <xdr:rowOff>116187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69324" y="190501"/>
          <a:ext cx="2494800" cy="285519"/>
        </a:xfrm>
        <a:prstGeom prst="rect">
          <a:avLst/>
        </a:prstGeom>
        <a:noFill/>
        <a:ln>
          <a:noFill/>
        </a:ln>
      </xdr:spPr>
    </xdr:pic>
    <xdr:clientData/>
  </xdr:twoCellAnchor>
  <xdr:twoCellAnchor editAs="oneCell">
    <xdr:from>
      <xdr:col>1</xdr:col>
      <xdr:colOff>21157</xdr:colOff>
      <xdr:row>1</xdr:row>
      <xdr:rowOff>10583</xdr:rowOff>
    </xdr:from>
    <xdr:to>
      <xdr:col>2</xdr:col>
      <xdr:colOff>409565</xdr:colOff>
      <xdr:row>3</xdr:row>
      <xdr:rowOff>21166</xdr:rowOff>
    </xdr:to>
    <xdr:grpSp>
      <xdr:nvGrpSpPr>
        <xdr:cNvPr id="3" name="Group 2">
          <a:hlinkClick xmlns:r="http://schemas.openxmlformats.org/officeDocument/2006/relationships" r:id="rId2"/>
          <a:extLst>
            <a:ext uri="{FF2B5EF4-FFF2-40B4-BE49-F238E27FC236}">
              <a16:creationId xmlns:a16="http://schemas.microsoft.com/office/drawing/2014/main" id="{00000000-0008-0000-0400-000003000000}"/>
            </a:ext>
          </a:extLst>
        </xdr:cNvPr>
        <xdr:cNvGrpSpPr/>
      </xdr:nvGrpSpPr>
      <xdr:grpSpPr>
        <a:xfrm>
          <a:off x="201074" y="190500"/>
          <a:ext cx="2081741" cy="370416"/>
          <a:chOff x="766234" y="162984"/>
          <a:chExt cx="2084916" cy="370416"/>
        </a:xfrm>
      </xdr:grpSpPr>
      <xdr:sp macro="" textlink="">
        <xdr:nvSpPr>
          <xdr:cNvPr id="4" name="Rectangle 3">
            <a:extLst>
              <a:ext uri="{FF2B5EF4-FFF2-40B4-BE49-F238E27FC236}">
                <a16:creationId xmlns:a16="http://schemas.microsoft.com/office/drawing/2014/main" id="{00000000-0008-0000-0400-000004000000}"/>
              </a:ext>
            </a:extLst>
          </xdr:cNvPr>
          <xdr:cNvSpPr/>
        </xdr:nvSpPr>
        <xdr:spPr>
          <a:xfrm>
            <a:off x="766234" y="162984"/>
            <a:ext cx="2084916" cy="370416"/>
          </a:xfrm>
          <a:prstGeom prst="rect">
            <a:avLst/>
          </a:prstGeom>
          <a:noFill/>
          <a:ln w="12700">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GB" sz="1200" b="1">
                <a:solidFill>
                  <a:schemeClr val="tx1">
                    <a:lumMod val="50000"/>
                    <a:lumOff val="50000"/>
                  </a:schemeClr>
                </a:solidFill>
              </a:rPr>
              <a:t>Back to HOME tab</a:t>
            </a:r>
          </a:p>
        </xdr:txBody>
      </xdr:sp>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61484" y="342901"/>
            <a:ext cx="433917" cy="0"/>
          </a:xfrm>
          <a:prstGeom prst="straightConnector1">
            <a:avLst/>
          </a:prstGeom>
          <a:ln w="28575">
            <a:solidFill>
              <a:schemeClr val="tx1">
                <a:lumMod val="50000"/>
                <a:lumOff val="50000"/>
              </a:schemeClr>
            </a:solidFill>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rbonlimitsnor.sharepoint.com/CARBON%20LIMITS%20(common)/b%20-%20Project%20Archive/3%20-%20Ongoing/397%20-%20controllers%20in%20USA/7%20-%20Final%20deliverables/Third%20Version%20-%204%20July/160629%20-%20Model%20-for%20next%20report%20rele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ACILITY_TYPE"/>
      <sheetName val="CALCULATION"/>
      <sheetName val="GRAPH_CONT"/>
      <sheetName val="CASES_LIST"/>
      <sheetName val="RESULTS_GRAPH"/>
      <sheetName val="Sens_overview"/>
      <sheetName val="Graph_sens_Air_N"/>
      <sheetName val="Graph_sens_Air_R"/>
      <sheetName val="Graph_sens_Elec_N"/>
      <sheetName val="Graph_sens_Elec_R"/>
      <sheetName val="ASSUMPTION"/>
      <sheetName val="RESULTS_SENSITIVITY"/>
      <sheetName val="CASE_LIST_FOR_SENSITIVITY"/>
      <sheetName val="NEW_FIG_10"/>
      <sheetName val="EF_DISCUSSION"/>
      <sheetName val="COSTS_DB"/>
      <sheetName val="SOURCE_LIST"/>
      <sheetName val="ANALYSIS"/>
      <sheetName val="PRASINO"/>
    </sheetNames>
    <sheetDataSet>
      <sheetData sheetId="0"/>
      <sheetData sheetId="1"/>
      <sheetData sheetId="2"/>
      <sheetData sheetId="3"/>
      <sheetData sheetId="4"/>
      <sheetData sheetId="5"/>
      <sheetData sheetId="6"/>
      <sheetData sheetId="7"/>
      <sheetData sheetId="8"/>
      <sheetData sheetId="9"/>
      <sheetData sheetId="10"/>
      <sheetData sheetId="11">
        <row r="9">
          <cell r="G9">
            <v>7.0000000000000007E-2</v>
          </cell>
        </row>
      </sheetData>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trofit_new_T" displayName="retrofit_new_T" ref="B3:B5" totalsRowShown="0" headerRowDxfId="43" dataDxfId="41" headerRowBorderDxfId="42">
  <autoFilter ref="B3:B5" xr:uid="{00000000-0009-0000-0100-000002000000}"/>
  <tableColumns count="1">
    <tableColumn id="1" xr3:uid="{00000000-0010-0000-0000-000001000000}" name="NEW/RETROFIT" dataDxfId="4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lec_on_site_T" displayName="Elec_on_site_T" ref="E3:E5" totalsRowShown="0" headerRowDxfId="39" dataDxfId="37" headerRowBorderDxfId="38">
  <autoFilter ref="E3:E5" xr:uid="{00000000-0009-0000-0100-000003000000}"/>
  <tableColumns count="1">
    <tableColumn id="1" xr3:uid="{00000000-0010-0000-0100-000001000000}" name="ELECTRICITY ONSITE" dataDxfId="36"/>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ump_Number_T" displayName="Pump_Number_T" ref="H3:H6" totalsRowShown="0" headerRowDxfId="35" dataDxfId="33" headerRowBorderDxfId="34">
  <autoFilter ref="H3:H6" xr:uid="{00000000-0009-0000-0100-000004000000}"/>
  <tableColumns count="1">
    <tableColumn id="1" xr3:uid="{00000000-0010-0000-0200-000001000000}" name="# PUMPS" dataDxfId="3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Supply_gas_T" displayName="Supply_gas_T" ref="J3:J5" totalsRowShown="0" headerRowDxfId="31" dataDxfId="29" headerRowBorderDxfId="30">
  <autoFilter ref="J3:J5" xr:uid="{00000000-0009-0000-0100-000005000000}"/>
  <tableColumns count="1">
    <tableColumn id="1" xr3:uid="{00000000-0010-0000-0300-000001000000}" name="TYPE OF SUPPLY GAS" dataDxfId="28"/>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B16" totalsRowShown="0" headerRowDxfId="27" dataDxfId="25" headerRowBorderDxfId="26">
  <autoFilter ref="B8:B16" xr:uid="{00000000-0009-0000-0100-000006000000}"/>
  <tableColumns count="1">
    <tableColumn id="1" xr3:uid="{00000000-0010-0000-0400-000001000000}" name="INTEREST RATE" dataDxfId="24"/>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E8:E13" totalsRowShown="0" headerRowDxfId="23" dataDxfId="21" headerRowBorderDxfId="22">
  <autoFilter ref="E8:E13" xr:uid="{00000000-0009-0000-0100-000007000000}"/>
  <tableColumns count="1">
    <tableColumn id="1" xr3:uid="{00000000-0010-0000-0500-000001000000}" name="GAS PRICE" dataDxfId="20"/>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H8:H12" totalsRowShown="0" headerRowDxfId="19" dataDxfId="17" headerRowBorderDxfId="18">
  <autoFilter ref="H8:H12" xr:uid="{00000000-0009-0000-0100-000008000000}"/>
  <tableColumns count="1">
    <tableColumn id="1" xr3:uid="{00000000-0010-0000-0600-000001000000}" name="RETROFIT LIFETIME" dataDxfId="1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A8BA0E-E6C8-46DC-8FE4-72FB30211FC4}" name="Table82" displayName="Table82" ref="J8:K20" totalsRowShown="0" headerRowDxfId="15" dataDxfId="13" headerRowBorderDxfId="14">
  <autoFilter ref="J8:K20" xr:uid="{94A8BA0E-E6C8-46DC-8FE4-72FB30211FC4}"/>
  <tableColumns count="2">
    <tableColumn id="1" xr3:uid="{26E73ABE-1A85-4031-8C1D-87EA489FA94C}" name="BATTERY TEMPERATURE" dataDxfId="12"/>
    <tableColumn id="2" xr3:uid="{E5115414-B569-4943-8504-72913BE89D1B}" name="Column1" dataDxfId="11"/>
  </tableColumns>
  <tableStyleInfo name="Table Style 1" showFirstColumn="0" showLastColumn="0" showRowStripes="1" showColumnStripes="0"/>
</table>
</file>

<file path=xl/theme/theme1.xml><?xml version="1.0" encoding="utf-8"?>
<a:theme xmlns:a="http://schemas.openxmlformats.org/drawingml/2006/main" name="CLtheme2">
  <a:themeElements>
    <a:clrScheme name="Carbon Limits">
      <a:dk1>
        <a:sysClr val="windowText" lastClr="000000"/>
      </a:dk1>
      <a:lt1>
        <a:sysClr val="window" lastClr="FFFFFF"/>
      </a:lt1>
      <a:dk2>
        <a:srgbClr val="2BB673"/>
      </a:dk2>
      <a:lt2>
        <a:srgbClr val="EEECE1"/>
      </a:lt2>
      <a:accent1>
        <a:srgbClr val="2BB673"/>
      </a:accent1>
      <a:accent2>
        <a:srgbClr val="414042"/>
      </a:accent2>
      <a:accent3>
        <a:srgbClr val="005D5D"/>
      </a:accent3>
      <a:accent4>
        <a:srgbClr val="E2A380"/>
      </a:accent4>
      <a:accent5>
        <a:srgbClr val="92D6E3"/>
      </a:accent5>
      <a:accent6>
        <a:srgbClr val="155B39"/>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12700">
          <a:solidFill>
            <a:srgbClr val="2BB673"/>
          </a:solidFill>
        </a:ln>
        <a:effectLst/>
      </a:spPr>
      <a:bodyPr wrap="square" lIns="162000" tIns="162000" rIns="162000" bIns="162000" rtlCol="0"/>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B5:R25"/>
  <sheetViews>
    <sheetView showGridLines="0" showRowColHeaders="0" tabSelected="1" zoomScale="90" zoomScaleNormal="90" workbookViewId="0">
      <selection activeCell="B15" sqref="B15:R15"/>
    </sheetView>
  </sheetViews>
  <sheetFormatPr baseColWidth="10" defaultColWidth="8.83203125" defaultRowHeight="14" x14ac:dyDescent="0.15"/>
  <cols>
    <col min="2" max="2" width="16.6640625" customWidth="1"/>
    <col min="3" max="3" width="5.5" customWidth="1"/>
  </cols>
  <sheetData>
    <row r="5" spans="2:18" ht="28" x14ac:dyDescent="0.15">
      <c r="B5" s="246" t="s">
        <v>234</v>
      </c>
      <c r="C5" s="246"/>
      <c r="D5" s="246"/>
      <c r="E5" s="246"/>
      <c r="F5" s="246"/>
      <c r="G5" s="246"/>
      <c r="H5" s="246"/>
      <c r="I5" s="246"/>
      <c r="J5" s="246"/>
      <c r="K5" s="246"/>
      <c r="L5" s="246"/>
      <c r="M5" s="246"/>
      <c r="N5" s="246"/>
      <c r="O5" s="246"/>
      <c r="P5" s="246"/>
      <c r="Q5" s="246"/>
      <c r="R5" s="246"/>
    </row>
    <row r="6" spans="2:18" ht="20" x14ac:dyDescent="0.15">
      <c r="B6" s="251" t="s">
        <v>349</v>
      </c>
      <c r="C6" s="251"/>
      <c r="D6" s="251"/>
      <c r="E6" s="251"/>
      <c r="F6" s="251"/>
      <c r="G6" s="251"/>
      <c r="H6" s="251"/>
      <c r="I6" s="251"/>
      <c r="J6" s="251"/>
      <c r="K6" s="251"/>
      <c r="L6" s="251"/>
      <c r="M6" s="251"/>
      <c r="N6" s="251"/>
      <c r="O6" s="251"/>
      <c r="P6" s="251"/>
      <c r="Q6" s="251"/>
      <c r="R6" s="251"/>
    </row>
    <row r="7" spans="2:18" ht="18" x14ac:dyDescent="0.15">
      <c r="B7" s="248" t="s">
        <v>235</v>
      </c>
      <c r="C7" s="248"/>
      <c r="D7" s="248"/>
      <c r="E7" s="248"/>
      <c r="F7" s="248"/>
      <c r="G7" s="248"/>
      <c r="H7" s="248"/>
      <c r="I7" s="248"/>
      <c r="J7" s="248"/>
      <c r="K7" s="248"/>
      <c r="L7" s="248"/>
      <c r="M7" s="248"/>
      <c r="N7" s="248"/>
      <c r="O7" s="248"/>
      <c r="P7" s="248"/>
      <c r="Q7" s="248"/>
      <c r="R7" s="248"/>
    </row>
    <row r="9" spans="2:18" x14ac:dyDescent="0.15">
      <c r="B9" s="245"/>
      <c r="C9" s="245"/>
      <c r="D9" s="245"/>
      <c r="E9" s="245"/>
      <c r="F9" s="245"/>
      <c r="G9" s="245"/>
      <c r="H9" s="245"/>
      <c r="I9" s="245"/>
      <c r="J9" s="245"/>
      <c r="K9" s="245"/>
      <c r="L9" s="245"/>
      <c r="M9" s="245"/>
      <c r="N9" s="245"/>
      <c r="O9" s="245"/>
      <c r="P9" s="245"/>
      <c r="Q9" s="245"/>
      <c r="R9" s="245"/>
    </row>
    <row r="10" spans="2:18" x14ac:dyDescent="0.15">
      <c r="B10" s="78"/>
      <c r="C10" s="78"/>
      <c r="D10" s="78"/>
      <c r="E10" s="78"/>
      <c r="F10" s="78"/>
      <c r="G10" s="78"/>
      <c r="H10" s="78"/>
      <c r="I10" s="78"/>
      <c r="J10" s="78"/>
      <c r="K10" s="78"/>
      <c r="L10" s="78"/>
      <c r="M10" s="78"/>
      <c r="N10" s="78"/>
      <c r="O10" s="78"/>
      <c r="P10" s="78"/>
      <c r="Q10" s="78"/>
      <c r="R10" s="78"/>
    </row>
    <row r="11" spans="2:18" ht="23" x14ac:dyDescent="0.15">
      <c r="B11" s="121" t="s">
        <v>231</v>
      </c>
      <c r="C11" s="77"/>
      <c r="D11" s="77"/>
      <c r="E11" s="77"/>
      <c r="F11" s="77"/>
      <c r="G11" s="77"/>
      <c r="H11" s="77"/>
      <c r="I11" s="77"/>
      <c r="J11" s="77"/>
      <c r="K11" s="77"/>
      <c r="L11" s="77"/>
      <c r="M11" s="77"/>
      <c r="N11" s="77"/>
      <c r="O11" s="77"/>
      <c r="P11" s="77"/>
      <c r="Q11" s="77"/>
      <c r="R11" s="77"/>
    </row>
    <row r="12" spans="2:18" ht="61.5" customHeight="1" x14ac:dyDescent="0.15">
      <c r="B12" s="245" t="s">
        <v>249</v>
      </c>
      <c r="C12" s="245"/>
      <c r="D12" s="245"/>
      <c r="E12" s="245"/>
      <c r="F12" s="245"/>
      <c r="G12" s="245"/>
      <c r="H12" s="245"/>
      <c r="I12" s="245"/>
      <c r="J12" s="245"/>
      <c r="K12" s="245"/>
      <c r="L12" s="245"/>
      <c r="M12" s="245"/>
      <c r="N12" s="245"/>
      <c r="O12" s="245"/>
      <c r="P12" s="245"/>
      <c r="Q12" s="245"/>
      <c r="R12" s="245"/>
    </row>
    <row r="13" spans="2:18" x14ac:dyDescent="0.15">
      <c r="B13" s="78"/>
      <c r="C13" s="78"/>
      <c r="D13" s="78"/>
      <c r="E13" s="78"/>
      <c r="F13" s="78"/>
      <c r="G13" s="78"/>
      <c r="H13" s="78"/>
      <c r="I13" s="78"/>
      <c r="J13" s="78"/>
      <c r="K13" s="78"/>
      <c r="L13" s="78"/>
      <c r="M13" s="78"/>
      <c r="N13" s="78"/>
      <c r="O13" s="78"/>
      <c r="P13" s="78"/>
      <c r="Q13" s="78"/>
      <c r="R13" s="78"/>
    </row>
    <row r="14" spans="2:18" ht="23" x14ac:dyDescent="0.15">
      <c r="B14" s="121" t="s">
        <v>233</v>
      </c>
      <c r="C14" s="77"/>
      <c r="D14" s="77"/>
      <c r="E14" s="77"/>
      <c r="F14" s="77"/>
      <c r="G14" s="77"/>
      <c r="H14" s="77"/>
      <c r="I14" s="77"/>
      <c r="J14" s="77"/>
      <c r="K14" s="77"/>
      <c r="L14" s="77"/>
      <c r="M14" s="77"/>
      <c r="N14" s="77"/>
      <c r="O14" s="77"/>
      <c r="P14" s="77"/>
      <c r="Q14" s="77"/>
      <c r="R14" s="77"/>
    </row>
    <row r="15" spans="2:18" ht="26.25" customHeight="1" x14ac:dyDescent="0.15">
      <c r="B15" s="247" t="s">
        <v>250</v>
      </c>
      <c r="C15" s="247"/>
      <c r="D15" s="247"/>
      <c r="E15" s="247"/>
      <c r="F15" s="247"/>
      <c r="G15" s="247"/>
      <c r="H15" s="247"/>
      <c r="I15" s="247"/>
      <c r="J15" s="247"/>
      <c r="K15" s="247"/>
      <c r="L15" s="247"/>
      <c r="M15" s="247"/>
      <c r="N15" s="247"/>
      <c r="O15" s="247"/>
      <c r="P15" s="247"/>
      <c r="Q15" s="247"/>
      <c r="R15" s="247"/>
    </row>
    <row r="17" spans="2:18" s="35" customFormat="1" ht="27" customHeight="1" x14ac:dyDescent="0.15">
      <c r="B17" s="84" t="s">
        <v>229</v>
      </c>
      <c r="D17" s="249" t="s">
        <v>274</v>
      </c>
      <c r="E17" s="249"/>
      <c r="F17" s="249"/>
      <c r="G17" s="249"/>
      <c r="H17" s="249"/>
      <c r="I17" s="249"/>
      <c r="J17" s="249"/>
      <c r="K17" s="249"/>
      <c r="L17" s="249"/>
      <c r="M17" s="249"/>
      <c r="N17" s="249"/>
      <c r="O17" s="249"/>
      <c r="P17" s="249"/>
      <c r="Q17" s="249"/>
      <c r="R17" s="249"/>
    </row>
    <row r="18" spans="2:18" x14ac:dyDescent="0.15">
      <c r="B18" s="80"/>
    </row>
    <row r="19" spans="2:18" s="35" customFormat="1" ht="27" customHeight="1" x14ac:dyDescent="0.15">
      <c r="B19" s="84" t="s">
        <v>230</v>
      </c>
      <c r="D19" s="250" t="s">
        <v>275</v>
      </c>
      <c r="E19" s="250"/>
      <c r="F19" s="250"/>
      <c r="G19" s="250"/>
      <c r="H19" s="250"/>
      <c r="I19" s="250"/>
      <c r="J19" s="250"/>
      <c r="K19" s="250"/>
      <c r="L19" s="250"/>
      <c r="M19" s="250"/>
      <c r="N19" s="250"/>
      <c r="O19" s="250"/>
      <c r="P19" s="250"/>
      <c r="Q19" s="250"/>
      <c r="R19" s="250"/>
    </row>
    <row r="20" spans="2:18" x14ac:dyDescent="0.15">
      <c r="B20" s="80"/>
    </row>
    <row r="21" spans="2:18" s="35" customFormat="1" ht="27" customHeight="1" x14ac:dyDescent="0.15">
      <c r="B21" s="84" t="s">
        <v>89</v>
      </c>
      <c r="D21" s="250" t="s">
        <v>246</v>
      </c>
      <c r="E21" s="250"/>
      <c r="F21" s="250"/>
      <c r="G21" s="250"/>
      <c r="H21" s="250"/>
      <c r="I21" s="250"/>
      <c r="J21" s="250"/>
      <c r="K21" s="250"/>
      <c r="L21" s="250"/>
      <c r="M21" s="250"/>
      <c r="N21" s="250"/>
      <c r="O21" s="250"/>
      <c r="P21" s="250"/>
      <c r="Q21" s="250"/>
      <c r="R21" s="250"/>
    </row>
    <row r="22" spans="2:18" x14ac:dyDescent="0.15">
      <c r="B22" s="78"/>
      <c r="C22" s="78"/>
      <c r="D22" s="78"/>
      <c r="E22" s="78"/>
      <c r="F22" s="78"/>
      <c r="G22" s="78"/>
      <c r="H22" s="78"/>
      <c r="I22" s="78"/>
      <c r="J22" s="78"/>
      <c r="K22" s="78"/>
      <c r="L22" s="78"/>
      <c r="M22" s="78"/>
      <c r="N22" s="78"/>
      <c r="O22" s="78"/>
      <c r="P22" s="78"/>
      <c r="Q22" s="78"/>
      <c r="R22" s="78"/>
    </row>
    <row r="23" spans="2:18" ht="23" x14ac:dyDescent="0.15">
      <c r="B23" s="121" t="s">
        <v>236</v>
      </c>
      <c r="C23" s="77"/>
      <c r="D23" s="77"/>
      <c r="E23" s="77"/>
      <c r="F23" s="77"/>
      <c r="G23" s="77"/>
      <c r="H23" s="77"/>
      <c r="I23" s="77"/>
      <c r="J23" s="77"/>
      <c r="K23" s="77"/>
      <c r="L23" s="77"/>
      <c r="M23" s="77"/>
      <c r="N23" s="77"/>
      <c r="O23" s="77"/>
      <c r="P23" s="77"/>
      <c r="Q23" s="77"/>
      <c r="R23" s="77"/>
    </row>
    <row r="24" spans="2:18" ht="48.75" customHeight="1" x14ac:dyDescent="0.15">
      <c r="B24" s="245" t="s">
        <v>276</v>
      </c>
      <c r="C24" s="245"/>
      <c r="D24" s="245"/>
      <c r="E24" s="245"/>
      <c r="F24" s="245"/>
      <c r="G24" s="245"/>
      <c r="H24" s="245"/>
      <c r="I24" s="245"/>
      <c r="J24" s="245"/>
      <c r="K24" s="245"/>
      <c r="L24" s="245"/>
      <c r="M24" s="245"/>
      <c r="N24" s="245"/>
      <c r="O24" s="245"/>
      <c r="P24" s="245"/>
      <c r="Q24" s="245"/>
      <c r="R24" s="245"/>
    </row>
    <row r="25" spans="2:18" x14ac:dyDescent="0.15">
      <c r="C25" s="79"/>
    </row>
  </sheetData>
  <sheetProtection algorithmName="SHA-512" hashValue="qz8rX46qy+3efx2Iey1F+pFjigLcJDz44twVYCcp5oXH6HTmDVSWPUBJ38cf1BVyBaBLOQhUJ8J4fAQHiVcXTA==" saltValue="9wY/xwUfEAZ4fEf6B28bPA==" spinCount="100000" sheet="1" objects="1" scenarios="1"/>
  <mergeCells count="10">
    <mergeCell ref="B24:R24"/>
    <mergeCell ref="B5:R5"/>
    <mergeCell ref="B9:R9"/>
    <mergeCell ref="B15:R15"/>
    <mergeCell ref="B7:R7"/>
    <mergeCell ref="B12:R12"/>
    <mergeCell ref="D17:R17"/>
    <mergeCell ref="D19:R19"/>
    <mergeCell ref="D21:R21"/>
    <mergeCell ref="B6:R6"/>
  </mergeCells>
  <hyperlinks>
    <hyperlink ref="B17" location="DASHBOARD!A1" display="DASHBOARD" xr:uid="{00000000-0004-0000-0000-000000000000}"/>
    <hyperlink ref="B19" location="ASSUMPTIONS!A1" display="ASSUMPTIONS" xr:uid="{00000000-0004-0000-0000-000001000000}"/>
    <hyperlink ref="B21" location="CALCULATION!A1" display="CALCULATION" xr:uid="{00000000-0004-0000-0000-000002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3:K20"/>
  <sheetViews>
    <sheetView showGridLines="0" workbookViewId="0">
      <selection activeCell="K10" sqref="K10"/>
    </sheetView>
  </sheetViews>
  <sheetFormatPr baseColWidth="10" defaultColWidth="9" defaultRowHeight="11" x14ac:dyDescent="0.15"/>
  <cols>
    <col min="1" max="1" width="9" style="36"/>
    <col min="2" max="2" width="12.83203125" style="36" customWidth="1"/>
    <col min="3" max="3" width="1.6640625" style="36" bestFit="1" customWidth="1"/>
    <col min="4" max="4" width="1.6640625" style="36" customWidth="1"/>
    <col min="5" max="5" width="19" style="36" bestFit="1" customWidth="1"/>
    <col min="6" max="6" width="2.5" style="36" bestFit="1" customWidth="1"/>
    <col min="7" max="7" width="1.6640625" style="36" customWidth="1"/>
    <col min="8" max="8" width="15.5" style="36" customWidth="1"/>
    <col min="9" max="9" width="1.33203125" style="36" customWidth="1"/>
    <col min="10" max="10" width="17.1640625" style="36" customWidth="1"/>
    <col min="11" max="11" width="2.1640625" style="36" bestFit="1" customWidth="1"/>
    <col min="12" max="12" width="1.6640625" style="36" customWidth="1"/>
    <col min="13" max="16384" width="9" style="36"/>
  </cols>
  <sheetData>
    <row r="3" spans="2:11" s="37" customFormat="1" x14ac:dyDescent="0.15">
      <c r="B3" s="38" t="s">
        <v>2</v>
      </c>
      <c r="C3" s="38"/>
      <c r="E3" s="38" t="s">
        <v>170</v>
      </c>
      <c r="F3" s="38"/>
      <c r="H3" s="38" t="s">
        <v>171</v>
      </c>
      <c r="J3" s="38" t="s">
        <v>172</v>
      </c>
      <c r="K3" s="38"/>
    </row>
    <row r="4" spans="2:11" x14ac:dyDescent="0.15">
      <c r="B4" s="36" t="s">
        <v>168</v>
      </c>
      <c r="C4" s="36" t="s">
        <v>3</v>
      </c>
      <c r="E4" s="36" t="s">
        <v>165</v>
      </c>
      <c r="F4" s="36" t="s">
        <v>5</v>
      </c>
      <c r="H4" s="93">
        <v>0</v>
      </c>
      <c r="J4" s="36" t="s">
        <v>166</v>
      </c>
      <c r="K4" s="36" t="s">
        <v>7</v>
      </c>
    </row>
    <row r="5" spans="2:11" x14ac:dyDescent="0.15">
      <c r="B5" s="36" t="s">
        <v>93</v>
      </c>
      <c r="C5" s="36" t="s">
        <v>4</v>
      </c>
      <c r="E5" s="36" t="s">
        <v>169</v>
      </c>
      <c r="F5" s="36" t="s">
        <v>6</v>
      </c>
      <c r="H5" s="93">
        <v>1</v>
      </c>
      <c r="J5" s="36" t="s">
        <v>173</v>
      </c>
      <c r="K5" s="36" t="s">
        <v>8</v>
      </c>
    </row>
    <row r="6" spans="2:11" x14ac:dyDescent="0.15">
      <c r="H6" s="93">
        <v>2</v>
      </c>
    </row>
    <row r="8" spans="2:11" x14ac:dyDescent="0.15">
      <c r="B8" s="38" t="s">
        <v>182</v>
      </c>
      <c r="E8" s="38" t="s">
        <v>183</v>
      </c>
      <c r="H8" s="38" t="s">
        <v>185</v>
      </c>
      <c r="J8" s="38" t="s">
        <v>279</v>
      </c>
      <c r="K8" s="102" t="s">
        <v>294</v>
      </c>
    </row>
    <row r="9" spans="2:11" x14ac:dyDescent="0.15">
      <c r="B9" s="39">
        <v>0.03</v>
      </c>
      <c r="E9" s="36">
        <v>1</v>
      </c>
      <c r="H9" s="94">
        <v>5</v>
      </c>
      <c r="J9" s="94" t="s">
        <v>374</v>
      </c>
      <c r="K9" s="93" t="s">
        <v>375</v>
      </c>
    </row>
    <row r="10" spans="2:11" x14ac:dyDescent="0.15">
      <c r="B10" s="39">
        <v>0.04</v>
      </c>
      <c r="E10" s="36">
        <v>2</v>
      </c>
      <c r="H10" s="94">
        <v>10</v>
      </c>
      <c r="J10" s="94" t="s">
        <v>280</v>
      </c>
      <c r="K10" s="93" t="s">
        <v>295</v>
      </c>
    </row>
    <row r="11" spans="2:11" x14ac:dyDescent="0.15">
      <c r="B11" s="39">
        <v>0.05</v>
      </c>
      <c r="E11" s="36">
        <v>3</v>
      </c>
      <c r="H11" s="94">
        <v>15</v>
      </c>
      <c r="J11" s="94" t="s">
        <v>281</v>
      </c>
      <c r="K11" s="93" t="s">
        <v>296</v>
      </c>
    </row>
    <row r="12" spans="2:11" x14ac:dyDescent="0.15">
      <c r="B12" s="39">
        <v>0.06</v>
      </c>
      <c r="E12" s="36">
        <v>4</v>
      </c>
      <c r="H12" s="95">
        <v>20</v>
      </c>
      <c r="J12" s="95"/>
      <c r="K12" s="93"/>
    </row>
    <row r="13" spans="2:11" x14ac:dyDescent="0.15">
      <c r="B13" s="39">
        <v>7.0000000000000007E-2</v>
      </c>
      <c r="E13" s="36">
        <v>5</v>
      </c>
      <c r="J13" s="38" t="s">
        <v>290</v>
      </c>
      <c r="K13" s="93"/>
    </row>
    <row r="14" spans="2:11" x14ac:dyDescent="0.15">
      <c r="B14" s="39">
        <v>0.08</v>
      </c>
      <c r="J14" s="94" t="s">
        <v>291</v>
      </c>
      <c r="K14" s="101" t="s">
        <v>293</v>
      </c>
    </row>
    <row r="15" spans="2:11" x14ac:dyDescent="0.15">
      <c r="B15" s="39">
        <v>0.09</v>
      </c>
      <c r="J15" s="94" t="s">
        <v>292</v>
      </c>
      <c r="K15" s="93" t="s">
        <v>3</v>
      </c>
    </row>
    <row r="16" spans="2:11" x14ac:dyDescent="0.15">
      <c r="B16" s="39">
        <v>0.1</v>
      </c>
      <c r="K16" s="93"/>
    </row>
    <row r="17" spans="8:11" x14ac:dyDescent="0.15">
      <c r="H17" s="38" t="s">
        <v>370</v>
      </c>
      <c r="I17" s="94"/>
      <c r="J17" s="101"/>
      <c r="K17" s="101"/>
    </row>
    <row r="18" spans="8:11" x14ac:dyDescent="0.15">
      <c r="H18" s="94" t="s">
        <v>93</v>
      </c>
      <c r="I18" s="94"/>
      <c r="J18" s="93" t="s">
        <v>372</v>
      </c>
      <c r="K18" s="101"/>
    </row>
    <row r="19" spans="8:11" x14ac:dyDescent="0.15">
      <c r="H19" s="94" t="s">
        <v>291</v>
      </c>
      <c r="I19" s="94" t="s">
        <v>293</v>
      </c>
      <c r="J19" s="93" t="s">
        <v>291</v>
      </c>
      <c r="K19" s="93" t="s">
        <v>293</v>
      </c>
    </row>
    <row r="20" spans="8:11" x14ac:dyDescent="0.15">
      <c r="H20" s="94" t="s">
        <v>292</v>
      </c>
      <c r="I20" s="94" t="s">
        <v>3</v>
      </c>
      <c r="J20" s="101"/>
      <c r="K20" s="101"/>
    </row>
  </sheetData>
  <pageMargins left="0.7" right="0.7" top="0.75" bottom="0.75" header="0.3" footer="0.3"/>
  <tableParts count="8">
    <tablePart r:id="rId1"/>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05BC-9CFA-4E2A-9BAB-121553B5A6F1}">
  <dimension ref="A1:CA223"/>
  <sheetViews>
    <sheetView showGridLines="0" zoomScaleNormal="100" workbookViewId="0">
      <selection activeCell="O18" sqref="O18"/>
    </sheetView>
  </sheetViews>
  <sheetFormatPr baseColWidth="10" defaultColWidth="8.6640625" defaultRowHeight="14" x14ac:dyDescent="0.15"/>
  <cols>
    <col min="1" max="1" width="2.83203125" style="126" customWidth="1"/>
    <col min="2" max="2" width="1.5" style="126" customWidth="1"/>
    <col min="3" max="3" width="4.5" style="126" customWidth="1"/>
    <col min="4" max="4" width="1.1640625" style="126" customWidth="1"/>
    <col min="5" max="5" width="52.5" style="126" bestFit="1" customWidth="1"/>
    <col min="6" max="6" width="32" style="126" bestFit="1" customWidth="1"/>
    <col min="7" max="7" width="2.6640625" style="126" customWidth="1"/>
    <col min="8" max="8" width="1.33203125" style="126" customWidth="1"/>
    <col min="9" max="9" width="1.1640625" style="126" customWidth="1"/>
    <col min="10" max="10" width="1.5" style="126" customWidth="1"/>
    <col min="11" max="11" width="4.5" style="126" customWidth="1"/>
    <col min="12" max="12" width="1.1640625" style="126" customWidth="1"/>
    <col min="13" max="13" width="40.33203125" style="126" customWidth="1"/>
    <col min="14" max="14" width="5.33203125" style="126" customWidth="1"/>
    <col min="15" max="15" width="38.1640625" style="126" customWidth="1"/>
    <col min="16" max="16" width="2.6640625" style="126" customWidth="1"/>
    <col min="17" max="16384" width="8.6640625" style="126"/>
  </cols>
  <sheetData>
    <row r="1" spans="1:79" x14ac:dyDescent="0.15">
      <c r="A1" s="138"/>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row>
    <row r="2" spans="1:79" x14ac:dyDescent="0.15">
      <c r="A2" s="138"/>
      <c r="B2" s="138"/>
      <c r="C2" s="138"/>
      <c r="D2" s="138"/>
      <c r="E2" s="138"/>
      <c r="F2" s="138"/>
      <c r="G2" s="138"/>
      <c r="H2" s="138"/>
      <c r="I2" s="138"/>
      <c r="J2" s="138"/>
      <c r="K2" s="138"/>
      <c r="L2" s="138"/>
      <c r="M2" s="138"/>
      <c r="N2" s="138"/>
      <c r="O2" s="138"/>
      <c r="P2" s="138"/>
      <c r="Q2" s="138"/>
      <c r="R2" s="138"/>
      <c r="S2" s="139"/>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row>
    <row r="3" spans="1:79" x14ac:dyDescent="0.15">
      <c r="A3" s="138"/>
      <c r="B3" s="138"/>
      <c r="C3" s="138"/>
      <c r="D3" s="138"/>
      <c r="E3" s="138"/>
      <c r="F3" s="138"/>
      <c r="G3" s="138"/>
      <c r="H3" s="138"/>
      <c r="I3" s="138"/>
      <c r="J3" s="138"/>
      <c r="K3" s="138"/>
      <c r="L3" s="138"/>
      <c r="M3" s="138"/>
      <c r="N3" s="138"/>
      <c r="O3" s="138"/>
      <c r="P3" s="138"/>
      <c r="Q3" s="138"/>
      <c r="R3" s="138"/>
      <c r="S3" s="139"/>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row>
    <row r="4" spans="1:79" x14ac:dyDescent="0.15">
      <c r="A4" s="138"/>
      <c r="B4" s="138"/>
      <c r="C4" s="138"/>
      <c r="D4" s="138"/>
      <c r="E4" s="138"/>
      <c r="F4" s="138"/>
      <c r="G4" s="138"/>
      <c r="H4" s="138"/>
      <c r="I4" s="138"/>
      <c r="J4" s="138"/>
      <c r="K4" s="138"/>
      <c r="L4" s="138"/>
      <c r="M4" s="138"/>
      <c r="N4" s="138"/>
      <c r="O4" s="138"/>
      <c r="P4" s="138"/>
      <c r="Q4" s="138"/>
      <c r="R4" s="139"/>
      <c r="S4" s="139"/>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row>
    <row r="5" spans="1:79" ht="23" x14ac:dyDescent="0.15">
      <c r="A5" s="138"/>
      <c r="B5" s="140" t="s">
        <v>232</v>
      </c>
      <c r="C5" s="140"/>
      <c r="D5" s="141"/>
      <c r="E5" s="141"/>
      <c r="F5" s="141"/>
      <c r="G5" s="141"/>
      <c r="H5" s="141"/>
      <c r="I5" s="141"/>
      <c r="J5" s="141"/>
      <c r="K5" s="141"/>
      <c r="L5" s="141"/>
      <c r="M5" s="141"/>
      <c r="N5" s="141"/>
      <c r="O5" s="141"/>
      <c r="P5" s="141"/>
      <c r="Q5" s="141"/>
      <c r="R5" s="139"/>
      <c r="S5" s="141"/>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row>
    <row r="6" spans="1:79" ht="4.5" customHeight="1" x14ac:dyDescent="0.1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row>
    <row r="7" spans="1:79" ht="34.5" customHeight="1" x14ac:dyDescent="0.15">
      <c r="A7" s="138"/>
      <c r="B7" s="252" t="s">
        <v>277</v>
      </c>
      <c r="C7" s="252"/>
      <c r="D7" s="252"/>
      <c r="E7" s="252"/>
      <c r="F7" s="252"/>
      <c r="G7" s="252"/>
      <c r="H7" s="252"/>
      <c r="I7" s="252"/>
      <c r="J7" s="252"/>
      <c r="K7" s="252"/>
      <c r="L7" s="252"/>
      <c r="M7" s="252"/>
      <c r="N7" s="252"/>
      <c r="O7" s="252"/>
      <c r="P7" s="252"/>
      <c r="Q7" s="138"/>
      <c r="R7" s="138"/>
      <c r="S7" s="138"/>
      <c r="T7" s="219"/>
      <c r="U7" s="219"/>
      <c r="V7" s="219"/>
      <c r="W7" s="219"/>
      <c r="X7" s="219"/>
      <c r="Y7" s="219"/>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row>
    <row r="8" spans="1:79" x14ac:dyDescent="0.15">
      <c r="A8" s="138"/>
      <c r="B8" s="138"/>
      <c r="C8" s="138"/>
      <c r="D8" s="138"/>
      <c r="E8" s="138"/>
      <c r="F8" s="138"/>
      <c r="G8" s="138"/>
      <c r="H8" s="138"/>
      <c r="I8" s="138"/>
      <c r="J8" s="138"/>
      <c r="K8" s="138"/>
      <c r="L8" s="138"/>
      <c r="M8" s="138"/>
      <c r="N8" s="138"/>
      <c r="O8" s="138"/>
      <c r="P8" s="138"/>
      <c r="Q8" s="138"/>
      <c r="R8" s="138"/>
      <c r="S8" s="138"/>
      <c r="T8" s="219"/>
      <c r="U8" s="219"/>
      <c r="V8" s="219"/>
      <c r="W8" s="219"/>
      <c r="X8" s="219"/>
      <c r="Y8" s="219"/>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row>
    <row r="9" spans="1:79" ht="20" x14ac:dyDescent="0.15">
      <c r="A9" s="138"/>
      <c r="B9" s="144" t="s">
        <v>186</v>
      </c>
      <c r="C9" s="145"/>
      <c r="D9" s="146"/>
      <c r="E9" s="147"/>
      <c r="F9" s="147"/>
      <c r="G9" s="147"/>
      <c r="H9" s="147"/>
      <c r="I9" s="147"/>
      <c r="J9" s="147"/>
      <c r="K9" s="147"/>
      <c r="L9" s="147"/>
      <c r="M9" s="147"/>
      <c r="N9" s="147"/>
      <c r="O9" s="146"/>
      <c r="P9" s="146"/>
      <c r="Q9" s="138"/>
      <c r="R9" s="138"/>
      <c r="S9" s="138"/>
      <c r="T9" s="219"/>
      <c r="U9" s="219"/>
      <c r="V9" s="219"/>
      <c r="W9" s="219"/>
      <c r="X9" s="219"/>
      <c r="Y9" s="219"/>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row>
    <row r="10" spans="1:79" ht="10.5" customHeight="1" x14ac:dyDescent="0.15">
      <c r="A10" s="138"/>
      <c r="B10" s="138"/>
      <c r="C10" s="142"/>
      <c r="D10" s="142"/>
      <c r="E10" s="142"/>
      <c r="F10" s="143"/>
      <c r="G10" s="143"/>
      <c r="H10" s="143"/>
      <c r="I10" s="143"/>
      <c r="J10" s="143"/>
      <c r="K10" s="143"/>
      <c r="L10" s="138"/>
      <c r="M10" s="138"/>
      <c r="N10" s="138"/>
      <c r="O10" s="138"/>
      <c r="P10" s="138"/>
      <c r="Q10" s="138"/>
      <c r="R10" s="138"/>
      <c r="S10" s="138"/>
      <c r="T10" s="219"/>
      <c r="U10" s="219"/>
      <c r="V10" s="171"/>
      <c r="W10" s="171"/>
      <c r="X10" s="171"/>
      <c r="Y10" s="219"/>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row>
    <row r="11" spans="1:79" ht="8.25" customHeight="1" x14ac:dyDescent="0.15">
      <c r="A11" s="138"/>
      <c r="B11" s="183"/>
      <c r="C11" s="184"/>
      <c r="D11" s="184"/>
      <c r="E11" s="184"/>
      <c r="F11" s="184"/>
      <c r="G11" s="185"/>
      <c r="H11" s="142"/>
      <c r="I11" s="142"/>
      <c r="J11" s="183"/>
      <c r="K11" s="184"/>
      <c r="L11" s="184"/>
      <c r="M11" s="184"/>
      <c r="N11" s="184"/>
      <c r="O11" s="184"/>
      <c r="P11" s="185"/>
      <c r="Q11" s="138"/>
      <c r="R11" s="138"/>
      <c r="S11" s="138"/>
      <c r="T11" s="219"/>
      <c r="U11" s="219"/>
      <c r="V11" s="224"/>
      <c r="W11" s="224"/>
      <c r="X11" s="171"/>
      <c r="Y11" s="223"/>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row>
    <row r="12" spans="1:79" ht="16" x14ac:dyDescent="0.15">
      <c r="A12" s="138"/>
      <c r="B12" s="148"/>
      <c r="C12" s="149">
        <v>1</v>
      </c>
      <c r="D12" s="150"/>
      <c r="E12" s="151" t="s">
        <v>167</v>
      </c>
      <c r="F12" s="152"/>
      <c r="G12" s="181"/>
      <c r="H12" s="161"/>
      <c r="I12" s="161"/>
      <c r="J12" s="148"/>
      <c r="K12" s="149">
        <v>2</v>
      </c>
      <c r="L12" s="150"/>
      <c r="M12" s="151" t="s">
        <v>179</v>
      </c>
      <c r="N12" s="194"/>
      <c r="O12" s="152"/>
      <c r="P12" s="181"/>
      <c r="Q12" s="138"/>
      <c r="R12" s="138"/>
      <c r="S12" s="138"/>
      <c r="T12" s="219"/>
      <c r="U12" s="219"/>
      <c r="V12" s="221" t="str">
        <f>F39</f>
        <v>A. Electronic Controllers</v>
      </c>
      <c r="W12" s="221">
        <f>F46</f>
        <v>245.07668862314571</v>
      </c>
      <c r="X12" s="171">
        <f>W15</f>
        <v>1500</v>
      </c>
      <c r="Y12" s="223"/>
      <c r="AA12" s="72">
        <f>W15</f>
        <v>1500</v>
      </c>
      <c r="AB12" s="72"/>
      <c r="AC12" s="72"/>
      <c r="AD12" s="72"/>
      <c r="AE12"/>
      <c r="AF12"/>
      <c r="AG12"/>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row>
    <row r="13" spans="1:79" ht="5.25" customHeight="1" x14ac:dyDescent="0.15">
      <c r="A13" s="138"/>
      <c r="B13" s="148"/>
      <c r="C13" s="152"/>
      <c r="D13" s="150"/>
      <c r="E13" s="153"/>
      <c r="F13" s="153"/>
      <c r="G13" s="182"/>
      <c r="H13" s="186"/>
      <c r="I13" s="186"/>
      <c r="J13" s="148"/>
      <c r="K13" s="152"/>
      <c r="L13" s="150"/>
      <c r="M13" s="153"/>
      <c r="N13" s="153"/>
      <c r="O13" s="153"/>
      <c r="P13" s="182"/>
      <c r="Q13" s="138"/>
      <c r="R13" s="138"/>
      <c r="S13" s="138"/>
      <c r="T13" s="219"/>
      <c r="U13" s="219"/>
      <c r="V13" s="221" t="str">
        <f>M39</f>
        <v>B.  Instrument Air - Electricity on site</v>
      </c>
      <c r="W13" s="221" t="str">
        <f>M46</f>
        <v/>
      </c>
      <c r="X13" s="171">
        <f>X12</f>
        <v>1500</v>
      </c>
      <c r="Y13" s="223"/>
      <c r="AA13" s="72">
        <f>AA12</f>
        <v>1500</v>
      </c>
      <c r="AB13" s="72"/>
      <c r="AC13" s="72"/>
      <c r="AD13" s="72"/>
      <c r="AE13"/>
      <c r="AF13"/>
      <c r="AG13"/>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row>
    <row r="14" spans="1:79" x14ac:dyDescent="0.15">
      <c r="A14" s="138"/>
      <c r="B14" s="148"/>
      <c r="C14" s="150"/>
      <c r="D14" s="150"/>
      <c r="E14" s="154" t="s">
        <v>176</v>
      </c>
      <c r="F14" s="128">
        <v>10</v>
      </c>
      <c r="G14" s="187"/>
      <c r="H14" s="188"/>
      <c r="I14" s="188"/>
      <c r="J14" s="148"/>
      <c r="K14" s="150"/>
      <c r="L14" s="150"/>
      <c r="M14" s="154" t="s">
        <v>180</v>
      </c>
      <c r="N14" s="154"/>
      <c r="O14" s="129">
        <v>2</v>
      </c>
      <c r="P14" s="189"/>
      <c r="Q14" s="138"/>
      <c r="R14" s="138"/>
      <c r="S14" s="138"/>
      <c r="T14" s="219"/>
      <c r="U14" s="219"/>
      <c r="V14" s="221" t="str">
        <f>O39</f>
        <v>C. Solar Powered Instrument Air</v>
      </c>
      <c r="W14" s="221" t="str">
        <f>O46</f>
        <v/>
      </c>
      <c r="X14" s="171">
        <f>X13</f>
        <v>1500</v>
      </c>
      <c r="Y14" s="223"/>
      <c r="AA14" s="72">
        <f>AA13</f>
        <v>1500</v>
      </c>
      <c r="AB14" s="72"/>
      <c r="AC14" s="72"/>
      <c r="AD14" s="72"/>
      <c r="AE14"/>
      <c r="AF14"/>
      <c r="AG14"/>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row>
    <row r="15" spans="1:79" ht="5.25" customHeight="1" x14ac:dyDescent="0.15">
      <c r="A15" s="138"/>
      <c r="B15" s="148"/>
      <c r="C15" s="152"/>
      <c r="D15" s="150"/>
      <c r="E15" s="153"/>
      <c r="F15" s="127"/>
      <c r="G15" s="182"/>
      <c r="H15" s="186"/>
      <c r="I15" s="186"/>
      <c r="J15" s="148"/>
      <c r="K15" s="152"/>
      <c r="L15" s="150"/>
      <c r="M15" s="153"/>
      <c r="N15" s="153"/>
      <c r="O15" s="127"/>
      <c r="P15" s="182"/>
      <c r="Q15" s="138"/>
      <c r="R15" s="138"/>
      <c r="S15" s="138"/>
      <c r="T15" s="219"/>
      <c r="U15" s="219"/>
      <c r="V15" s="221" t="s">
        <v>367</v>
      </c>
      <c r="W15" s="221">
        <f>Target</f>
        <v>1500</v>
      </c>
      <c r="X15" s="171"/>
      <c r="Y15" s="223"/>
      <c r="AA15" s="72">
        <f>AA14</f>
        <v>1500</v>
      </c>
      <c r="AB15" s="72"/>
      <c r="AC15" s="72"/>
      <c r="AD15" s="72"/>
      <c r="AE15"/>
      <c r="AF15"/>
      <c r="AG15"/>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row>
    <row r="16" spans="1:79" x14ac:dyDescent="0.15">
      <c r="A16" s="138"/>
      <c r="B16" s="148"/>
      <c r="C16" s="150"/>
      <c r="D16" s="150"/>
      <c r="E16" s="154" t="s">
        <v>177</v>
      </c>
      <c r="F16" s="128">
        <v>2</v>
      </c>
      <c r="G16" s="189"/>
      <c r="H16" s="188"/>
      <c r="I16" s="188"/>
      <c r="J16" s="148"/>
      <c r="K16" s="150"/>
      <c r="L16" s="150"/>
      <c r="M16" s="154" t="s">
        <v>181</v>
      </c>
      <c r="N16" s="154"/>
      <c r="O16" s="130">
        <v>7.0000000000000007E-2</v>
      </c>
      <c r="P16" s="189"/>
      <c r="Q16" s="138"/>
      <c r="R16" s="138"/>
      <c r="S16" s="138"/>
      <c r="T16" s="219"/>
      <c r="U16" s="219"/>
      <c r="V16" s="221"/>
      <c r="W16" s="221"/>
      <c r="X16" s="171"/>
      <c r="Y16" s="223"/>
      <c r="AA16" s="72"/>
      <c r="AB16" s="72"/>
      <c r="AC16" s="72"/>
      <c r="AD16" s="72"/>
      <c r="AE16"/>
      <c r="AF16"/>
      <c r="AG16"/>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row>
    <row r="17" spans="1:33" ht="5.25" customHeight="1" x14ac:dyDescent="0.15">
      <c r="A17" s="138"/>
      <c r="B17" s="148"/>
      <c r="C17" s="152"/>
      <c r="D17" s="150"/>
      <c r="E17" s="153"/>
      <c r="F17" s="127"/>
      <c r="G17" s="182"/>
      <c r="H17" s="186"/>
      <c r="I17" s="186"/>
      <c r="J17" s="148"/>
      <c r="K17" s="152"/>
      <c r="L17" s="150"/>
      <c r="M17" s="153"/>
      <c r="N17" s="153"/>
      <c r="O17" s="127"/>
      <c r="P17" s="182"/>
      <c r="Q17" s="138"/>
      <c r="R17" s="138"/>
      <c r="S17" s="138"/>
      <c r="T17" s="219"/>
      <c r="U17" s="219"/>
      <c r="V17" s="222"/>
      <c r="W17" s="222"/>
      <c r="X17" s="219"/>
      <c r="Y17" s="223"/>
      <c r="AA17"/>
      <c r="AB17"/>
      <c r="AC17"/>
      <c r="AD17"/>
      <c r="AE17"/>
      <c r="AF17"/>
      <c r="AG17"/>
    </row>
    <row r="18" spans="1:33" x14ac:dyDescent="0.15">
      <c r="A18" s="138"/>
      <c r="B18" s="148"/>
      <c r="C18" s="150"/>
      <c r="D18" s="150"/>
      <c r="E18" s="154" t="s">
        <v>178</v>
      </c>
      <c r="F18" s="128">
        <v>1</v>
      </c>
      <c r="G18" s="189"/>
      <c r="H18" s="188"/>
      <c r="I18" s="188"/>
      <c r="J18" s="148"/>
      <c r="K18" s="150"/>
      <c r="L18" s="150"/>
      <c r="M18" s="154" t="s">
        <v>184</v>
      </c>
      <c r="N18" s="154"/>
      <c r="O18" s="131">
        <v>10</v>
      </c>
      <c r="P18" s="189"/>
      <c r="Q18" s="138"/>
      <c r="R18" s="138"/>
      <c r="S18" s="138"/>
      <c r="T18" s="219"/>
      <c r="U18" s="219"/>
      <c r="V18" s="222"/>
      <c r="W18" s="222"/>
      <c r="X18" s="219"/>
      <c r="Y18" s="223"/>
      <c r="AA18"/>
      <c r="AB18"/>
      <c r="AC18"/>
      <c r="AD18"/>
      <c r="AE18"/>
      <c r="AF18"/>
      <c r="AG18"/>
    </row>
    <row r="19" spans="1:33" ht="5.25" customHeight="1" x14ac:dyDescent="0.15">
      <c r="A19" s="138"/>
      <c r="B19" s="148"/>
      <c r="C19" s="152"/>
      <c r="D19" s="150"/>
      <c r="E19" s="153"/>
      <c r="F19" s="127"/>
      <c r="G19" s="182"/>
      <c r="H19" s="186"/>
      <c r="I19" s="186"/>
      <c r="J19" s="148"/>
      <c r="K19" s="152"/>
      <c r="L19" s="150"/>
      <c r="M19" s="153"/>
      <c r="N19" s="153"/>
      <c r="O19" s="127"/>
      <c r="P19" s="182"/>
      <c r="Q19" s="138"/>
      <c r="R19" s="138"/>
      <c r="S19" s="138"/>
      <c r="T19" s="138"/>
      <c r="U19" s="138"/>
      <c r="V19" s="138"/>
      <c r="W19" s="138"/>
      <c r="X19" s="138"/>
      <c r="Y19"/>
      <c r="Z19"/>
      <c r="AA19"/>
      <c r="AB19"/>
      <c r="AC19"/>
      <c r="AD19"/>
      <c r="AE19"/>
      <c r="AF19"/>
      <c r="AG19"/>
    </row>
    <row r="20" spans="1:33" x14ac:dyDescent="0.15">
      <c r="A20" s="138"/>
      <c r="B20" s="148"/>
      <c r="C20" s="150"/>
      <c r="D20" s="150"/>
      <c r="E20" s="154" t="s">
        <v>245</v>
      </c>
      <c r="F20" s="128">
        <v>0</v>
      </c>
      <c r="G20" s="189"/>
      <c r="H20" s="188"/>
      <c r="I20" s="188"/>
      <c r="J20" s="148"/>
      <c r="K20" s="138"/>
      <c r="L20" s="138"/>
      <c r="M20" s="154" t="s">
        <v>242</v>
      </c>
      <c r="N20" s="154"/>
      <c r="O20" s="132">
        <v>1500</v>
      </c>
      <c r="P20" s="189"/>
      <c r="Q20" s="138"/>
      <c r="R20" s="138"/>
      <c r="S20" s="138"/>
      <c r="T20" s="138"/>
      <c r="U20" s="138"/>
      <c r="V20" s="138"/>
      <c r="W20" s="138"/>
      <c r="X20" s="138"/>
      <c r="Y20"/>
      <c r="Z20"/>
      <c r="AA20"/>
      <c r="AB20"/>
      <c r="AC20"/>
      <c r="AD20"/>
      <c r="AE20"/>
      <c r="AF20"/>
      <c r="AG20"/>
    </row>
    <row r="21" spans="1:33" ht="5.25" customHeight="1" x14ac:dyDescent="0.15">
      <c r="A21" s="138"/>
      <c r="B21" s="148"/>
      <c r="C21" s="152"/>
      <c r="D21" s="150"/>
      <c r="E21" s="153"/>
      <c r="F21" s="127"/>
      <c r="G21" s="182"/>
      <c r="H21" s="186"/>
      <c r="I21" s="186"/>
      <c r="J21" s="148"/>
      <c r="K21" s="138"/>
      <c r="L21" s="138"/>
      <c r="M21" s="138"/>
      <c r="N21" s="138"/>
      <c r="P21" s="182"/>
      <c r="Q21" s="138"/>
      <c r="R21" s="138"/>
      <c r="S21" s="138"/>
      <c r="T21" s="138"/>
      <c r="U21" s="138"/>
      <c r="V21" s="138"/>
      <c r="W21" s="138"/>
      <c r="X21" s="138"/>
      <c r="Y21"/>
      <c r="Z21"/>
      <c r="AA21"/>
      <c r="AB21"/>
      <c r="AC21"/>
      <c r="AD21"/>
      <c r="AE21"/>
      <c r="AF21"/>
      <c r="AG21"/>
    </row>
    <row r="22" spans="1:33" x14ac:dyDescent="0.15">
      <c r="A22" s="138"/>
      <c r="B22" s="148"/>
      <c r="C22" s="150"/>
      <c r="D22" s="150"/>
      <c r="E22" s="154" t="s">
        <v>174</v>
      </c>
      <c r="F22" s="133" t="s">
        <v>169</v>
      </c>
      <c r="G22" s="190"/>
      <c r="H22" s="188"/>
      <c r="I22" s="188"/>
      <c r="J22" s="148"/>
      <c r="K22" s="138"/>
      <c r="L22" s="138"/>
      <c r="M22" s="154" t="s">
        <v>284</v>
      </c>
      <c r="N22" s="138"/>
      <c r="O22" s="134">
        <v>8</v>
      </c>
      <c r="P22" s="190"/>
      <c r="Q22" s="138"/>
      <c r="R22" s="138"/>
      <c r="S22" s="138"/>
      <c r="T22" s="138"/>
      <c r="U22" s="138"/>
      <c r="V22" s="138"/>
      <c r="W22" s="138"/>
      <c r="X22" s="138"/>
      <c r="Y22"/>
      <c r="Z22"/>
      <c r="AA22"/>
      <c r="AB22"/>
      <c r="AC22"/>
      <c r="AD22"/>
      <c r="AE22"/>
      <c r="AF22"/>
      <c r="AG22"/>
    </row>
    <row r="23" spans="1:33" ht="5.25" customHeight="1" x14ac:dyDescent="0.15">
      <c r="A23" s="138"/>
      <c r="B23" s="148"/>
      <c r="C23" s="152"/>
      <c r="D23" s="150"/>
      <c r="E23" s="153"/>
      <c r="F23" s="127"/>
      <c r="G23" s="182"/>
      <c r="H23" s="186"/>
      <c r="I23" s="186"/>
      <c r="J23" s="148"/>
      <c r="K23" s="138"/>
      <c r="L23" s="138"/>
      <c r="M23" s="138"/>
      <c r="N23" s="138"/>
      <c r="O23" s="138"/>
      <c r="P23" s="182"/>
      <c r="Q23" s="138"/>
      <c r="R23" s="138"/>
      <c r="S23" s="138"/>
      <c r="T23" s="138"/>
      <c r="U23" s="138"/>
      <c r="V23" s="138"/>
      <c r="W23" s="138"/>
      <c r="X23" s="138"/>
      <c r="Y23"/>
      <c r="Z23"/>
      <c r="AA23"/>
      <c r="AB23"/>
      <c r="AC23"/>
      <c r="AD23"/>
      <c r="AE23"/>
      <c r="AF23"/>
      <c r="AG23"/>
    </row>
    <row r="24" spans="1:33" ht="16" x14ac:dyDescent="0.15">
      <c r="A24" s="138"/>
      <c r="B24" s="148"/>
      <c r="C24" s="150"/>
      <c r="D24" s="150"/>
      <c r="E24" s="155" t="s">
        <v>175</v>
      </c>
      <c r="F24" s="135" t="s">
        <v>93</v>
      </c>
      <c r="G24" s="190"/>
      <c r="H24" s="188"/>
      <c r="I24" s="188"/>
      <c r="J24" s="148"/>
      <c r="K24" s="149">
        <v>3</v>
      </c>
      <c r="L24" s="150"/>
      <c r="M24" s="151" t="s">
        <v>187</v>
      </c>
      <c r="N24" s="194"/>
      <c r="O24" s="152"/>
      <c r="P24" s="190"/>
      <c r="Q24" s="138"/>
      <c r="R24" s="138"/>
      <c r="S24" s="138"/>
      <c r="T24" s="138"/>
      <c r="U24" s="138"/>
      <c r="V24" s="138"/>
      <c r="W24" s="138"/>
      <c r="X24" s="138"/>
    </row>
    <row r="25" spans="1:33" ht="5.25" customHeight="1" x14ac:dyDescent="0.15">
      <c r="A25" s="138"/>
      <c r="B25" s="148"/>
      <c r="C25" s="152"/>
      <c r="D25" s="150"/>
      <c r="E25" s="153"/>
      <c r="F25" s="127"/>
      <c r="G25" s="182"/>
      <c r="H25" s="186"/>
      <c r="I25" s="186"/>
      <c r="J25" s="148"/>
      <c r="K25" s="152"/>
      <c r="L25" s="150"/>
      <c r="M25" s="153"/>
      <c r="N25" s="153"/>
      <c r="O25" s="153"/>
      <c r="P25" s="182"/>
      <c r="Q25" s="138"/>
      <c r="R25" s="138"/>
      <c r="S25" s="138"/>
      <c r="T25" s="138"/>
      <c r="U25" s="138"/>
      <c r="V25" s="138"/>
      <c r="W25" s="138"/>
      <c r="X25" s="138"/>
    </row>
    <row r="26" spans="1:33" x14ac:dyDescent="0.15">
      <c r="A26" s="138"/>
      <c r="B26" s="148"/>
      <c r="C26" s="150"/>
      <c r="D26" s="150"/>
      <c r="E26" s="155" t="s">
        <v>243</v>
      </c>
      <c r="F26" s="135" t="s">
        <v>173</v>
      </c>
      <c r="G26" s="190"/>
      <c r="H26" s="188"/>
      <c r="I26" s="188"/>
      <c r="J26" s="148"/>
      <c r="K26" s="150"/>
      <c r="L26" s="150"/>
      <c r="M26" s="154" t="s">
        <v>188</v>
      </c>
      <c r="N26" s="154"/>
      <c r="O26" s="136">
        <v>14.43</v>
      </c>
      <c r="P26" s="190"/>
      <c r="Q26" s="138"/>
      <c r="R26" s="138"/>
      <c r="S26" s="138"/>
      <c r="T26" s="138"/>
      <c r="U26" s="138"/>
      <c r="V26" s="138"/>
      <c r="W26" s="138"/>
      <c r="X26" s="138"/>
    </row>
    <row r="27" spans="1:33" ht="5.25" customHeight="1" x14ac:dyDescent="0.15">
      <c r="A27" s="138"/>
      <c r="B27" s="148"/>
      <c r="C27" s="152"/>
      <c r="D27" s="150"/>
      <c r="E27" s="153"/>
      <c r="F27" s="127"/>
      <c r="G27" s="182"/>
      <c r="H27" s="186"/>
      <c r="I27" s="186"/>
      <c r="J27" s="148"/>
      <c r="K27" s="152"/>
      <c r="L27" s="150"/>
      <c r="M27" s="153"/>
      <c r="N27" s="153"/>
      <c r="O27" s="137"/>
      <c r="P27" s="182"/>
      <c r="Q27" s="138"/>
      <c r="R27" s="138"/>
      <c r="S27" s="138"/>
      <c r="T27" s="138"/>
      <c r="U27" s="138"/>
      <c r="V27" s="138"/>
      <c r="W27" s="138"/>
      <c r="X27" s="138"/>
    </row>
    <row r="28" spans="1:33" ht="15.5" customHeight="1" x14ac:dyDescent="0.15">
      <c r="A28" s="138"/>
      <c r="B28" s="148"/>
      <c r="C28" s="152"/>
      <c r="D28" s="150"/>
      <c r="E28" s="156" t="s">
        <v>282</v>
      </c>
      <c r="F28" s="135" t="s">
        <v>374</v>
      </c>
      <c r="G28" s="182"/>
      <c r="H28" s="186"/>
      <c r="I28" s="186"/>
      <c r="J28" s="148"/>
      <c r="K28" s="150"/>
      <c r="L28" s="150"/>
      <c r="M28" s="154" t="s">
        <v>189</v>
      </c>
      <c r="N28" s="154"/>
      <c r="O28" s="136">
        <v>4.43</v>
      </c>
      <c r="P28" s="182"/>
      <c r="Q28" s="138"/>
      <c r="R28" s="138"/>
      <c r="S28" s="138"/>
      <c r="T28" s="138"/>
      <c r="U28" s="138"/>
      <c r="V28" s="138"/>
      <c r="W28" s="138"/>
      <c r="X28" s="138"/>
    </row>
    <row r="29" spans="1:33" ht="5.25" customHeight="1" x14ac:dyDescent="0.15">
      <c r="A29" s="138"/>
      <c r="B29" s="148"/>
      <c r="C29" s="152"/>
      <c r="D29" s="150"/>
      <c r="E29" s="153"/>
      <c r="F29" s="127"/>
      <c r="G29" s="182"/>
      <c r="H29" s="186"/>
      <c r="I29" s="186"/>
      <c r="J29" s="148"/>
      <c r="K29" s="152"/>
      <c r="L29" s="150"/>
      <c r="M29" s="153"/>
      <c r="N29" s="153"/>
      <c r="O29" s="137"/>
      <c r="P29" s="182"/>
      <c r="Q29" s="138"/>
      <c r="R29" s="138"/>
      <c r="S29" s="138"/>
      <c r="T29" s="138"/>
      <c r="U29" s="138"/>
      <c r="V29" s="138"/>
      <c r="W29" s="138"/>
      <c r="X29" s="138"/>
    </row>
    <row r="30" spans="1:33" x14ac:dyDescent="0.15">
      <c r="A30" s="138"/>
      <c r="B30" s="148"/>
      <c r="C30" s="152"/>
      <c r="D30" s="150"/>
      <c r="E30" s="156" t="s">
        <v>289</v>
      </c>
      <c r="F30" s="135" t="s">
        <v>292</v>
      </c>
      <c r="G30" s="182"/>
      <c r="H30" s="186"/>
      <c r="I30" s="186"/>
      <c r="J30" s="148"/>
      <c r="K30" s="152"/>
      <c r="L30" s="150"/>
      <c r="M30" s="154" t="s">
        <v>190</v>
      </c>
      <c r="N30" s="154"/>
      <c r="O30" s="136">
        <v>13.3</v>
      </c>
      <c r="P30" s="182"/>
      <c r="Q30" s="138"/>
      <c r="R30" s="138"/>
      <c r="S30" s="138"/>
      <c r="T30" s="138"/>
      <c r="U30" s="138"/>
      <c r="V30" s="138"/>
      <c r="W30" s="138"/>
      <c r="X30" s="138"/>
    </row>
    <row r="31" spans="1:33" ht="5" customHeight="1" x14ac:dyDescent="0.15">
      <c r="A31" s="138"/>
      <c r="B31" s="148"/>
      <c r="C31" s="152"/>
      <c r="D31" s="150"/>
      <c r="E31" s="156"/>
      <c r="F31" s="156"/>
      <c r="G31" s="182"/>
      <c r="H31" s="186"/>
      <c r="I31" s="186"/>
      <c r="J31" s="148"/>
      <c r="K31" s="152"/>
      <c r="L31" s="150"/>
      <c r="M31" s="154"/>
      <c r="N31" s="154"/>
      <c r="O31" s="154"/>
      <c r="P31" s="182"/>
      <c r="Q31" s="138"/>
      <c r="R31" s="138"/>
      <c r="S31" s="138"/>
      <c r="T31" s="138"/>
      <c r="U31" s="138"/>
      <c r="V31" s="138"/>
      <c r="W31" s="138"/>
      <c r="X31" s="138"/>
    </row>
    <row r="32" spans="1:33" x14ac:dyDescent="0.15">
      <c r="A32" s="138"/>
      <c r="B32" s="148"/>
      <c r="C32" s="152"/>
      <c r="D32" s="150"/>
      <c r="E32" s="156" t="s">
        <v>371</v>
      </c>
      <c r="F32" s="135" t="s">
        <v>291</v>
      </c>
      <c r="G32" s="182"/>
      <c r="H32" s="186"/>
      <c r="I32" s="186"/>
      <c r="J32" s="148"/>
      <c r="K32" s="152"/>
      <c r="L32" s="150"/>
      <c r="M32" s="154"/>
      <c r="N32" s="154"/>
      <c r="O32" s="154"/>
      <c r="P32" s="182"/>
      <c r="Q32" s="138"/>
      <c r="R32" s="138"/>
      <c r="S32" s="138"/>
      <c r="T32" s="138"/>
      <c r="U32" s="138"/>
      <c r="V32" s="138"/>
      <c r="W32" s="138"/>
      <c r="X32" s="138"/>
    </row>
    <row r="33" spans="1:24" ht="5.25" customHeight="1" x14ac:dyDescent="0.15">
      <c r="A33" s="138"/>
      <c r="B33" s="148"/>
      <c r="C33" s="152"/>
      <c r="D33" s="150"/>
      <c r="E33" s="153"/>
      <c r="F33" s="153"/>
      <c r="G33" s="182"/>
      <c r="H33" s="186"/>
      <c r="I33" s="186"/>
      <c r="J33" s="148"/>
      <c r="K33" s="152"/>
      <c r="L33" s="150"/>
      <c r="M33" s="153"/>
      <c r="N33" s="153"/>
      <c r="O33" s="196"/>
      <c r="P33" s="182"/>
      <c r="Q33" s="138"/>
      <c r="R33" s="138"/>
      <c r="S33" s="138"/>
      <c r="T33" s="138"/>
      <c r="U33" s="138"/>
      <c r="V33" s="138"/>
      <c r="W33" s="138"/>
      <c r="X33" s="138"/>
    </row>
    <row r="34" spans="1:24" ht="6.75" customHeight="1" x14ac:dyDescent="0.15">
      <c r="A34" s="138"/>
      <c r="B34" s="157"/>
      <c r="C34" s="158"/>
      <c r="D34" s="158"/>
      <c r="E34" s="159"/>
      <c r="F34" s="193"/>
      <c r="G34" s="191"/>
      <c r="H34" s="192"/>
      <c r="I34" s="192"/>
      <c r="J34" s="157"/>
      <c r="K34" s="158"/>
      <c r="L34" s="158"/>
      <c r="M34" s="195"/>
      <c r="N34" s="195"/>
      <c r="O34" s="197"/>
      <c r="P34" s="191"/>
      <c r="Q34" s="138"/>
      <c r="R34" s="138"/>
      <c r="S34" s="138"/>
      <c r="T34" s="138"/>
      <c r="U34" s="138"/>
      <c r="V34" s="138"/>
      <c r="W34" s="138"/>
      <c r="X34" s="138"/>
    </row>
    <row r="35" spans="1:24" ht="8" customHeight="1" x14ac:dyDescent="0.15">
      <c r="A35" s="138"/>
      <c r="B35" s="138"/>
      <c r="C35" s="160"/>
      <c r="D35" s="142"/>
      <c r="E35" s="161"/>
      <c r="F35" s="172"/>
      <c r="G35" s="173"/>
      <c r="H35" s="174"/>
      <c r="I35" s="174"/>
      <c r="J35" s="161"/>
      <c r="K35" s="175"/>
      <c r="L35" s="138"/>
      <c r="M35" s="138"/>
      <c r="N35" s="138"/>
      <c r="O35" s="138"/>
      <c r="P35" s="138"/>
      <c r="Q35" s="138"/>
      <c r="R35" s="138"/>
      <c r="S35" s="138"/>
      <c r="T35" s="138"/>
      <c r="U35" s="138"/>
      <c r="V35" s="138"/>
      <c r="W35" s="138"/>
      <c r="X35" s="138"/>
    </row>
    <row r="36" spans="1:24" ht="20" x14ac:dyDescent="0.15">
      <c r="A36" s="138"/>
      <c r="B36" s="144" t="s">
        <v>244</v>
      </c>
      <c r="C36" s="147"/>
      <c r="D36" s="146"/>
      <c r="E36" s="147"/>
      <c r="F36" s="147" t="s">
        <v>278</v>
      </c>
      <c r="G36" s="147"/>
      <c r="H36" s="147"/>
      <c r="I36" s="147"/>
      <c r="J36" s="147"/>
      <c r="K36" s="147"/>
      <c r="L36" s="147"/>
      <c r="M36" s="176"/>
      <c r="N36" s="147"/>
      <c r="O36" s="146"/>
      <c r="P36" s="146"/>
      <c r="Q36" s="138"/>
      <c r="R36" s="138"/>
      <c r="S36" s="138"/>
      <c r="T36" s="138"/>
      <c r="U36" s="138"/>
      <c r="V36" s="138"/>
      <c r="W36" s="138"/>
      <c r="X36" s="138"/>
    </row>
    <row r="37" spans="1:24" ht="9.75" customHeight="1" x14ac:dyDescent="0.1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ht="9" customHeight="1" x14ac:dyDescent="0.15">
      <c r="A38" s="138"/>
      <c r="B38" s="162"/>
      <c r="C38" s="163"/>
      <c r="D38" s="163"/>
      <c r="E38" s="163"/>
      <c r="F38" s="163"/>
      <c r="G38" s="163"/>
      <c r="H38" s="177"/>
      <c r="I38" s="177"/>
      <c r="J38" s="177"/>
      <c r="K38" s="163"/>
      <c r="L38" s="163"/>
      <c r="M38" s="163"/>
      <c r="N38" s="163"/>
      <c r="O38" s="163"/>
      <c r="P38" s="198"/>
      <c r="Q38" s="138"/>
      <c r="R38" s="138"/>
      <c r="S38" s="138"/>
      <c r="T38" s="138"/>
      <c r="U38" s="138"/>
      <c r="V38" s="138"/>
      <c r="W38" s="138"/>
      <c r="X38" s="138"/>
    </row>
    <row r="39" spans="1:24" ht="17" x14ac:dyDescent="0.15">
      <c r="A39" s="138"/>
      <c r="B39" s="164"/>
      <c r="C39" s="152"/>
      <c r="D39" s="150"/>
      <c r="E39" s="165"/>
      <c r="F39" s="178" t="s">
        <v>345</v>
      </c>
      <c r="G39" s="179"/>
      <c r="H39" s="180"/>
      <c r="I39" s="180"/>
      <c r="J39" s="180"/>
      <c r="K39" s="152"/>
      <c r="L39" s="150"/>
      <c r="M39" s="178" t="s">
        <v>344</v>
      </c>
      <c r="N39" s="165"/>
      <c r="O39" s="178" t="s">
        <v>343</v>
      </c>
      <c r="P39" s="199"/>
      <c r="Q39" s="138"/>
      <c r="R39" s="138"/>
      <c r="S39" s="138"/>
      <c r="T39" s="138"/>
      <c r="U39" s="138"/>
      <c r="V39" s="138"/>
      <c r="W39" s="138"/>
      <c r="X39" s="138"/>
    </row>
    <row r="40" spans="1:24" x14ac:dyDescent="0.15">
      <c r="A40" s="138"/>
      <c r="B40" s="164"/>
      <c r="C40" s="152"/>
      <c r="D40" s="150"/>
      <c r="E40" s="166"/>
      <c r="F40" s="166"/>
      <c r="G40" s="179"/>
      <c r="H40" s="180"/>
      <c r="I40" s="180"/>
      <c r="J40" s="180"/>
      <c r="K40" s="152"/>
      <c r="L40" s="150"/>
      <c r="M40" s="166"/>
      <c r="N40" s="166"/>
      <c r="O40" s="152"/>
      <c r="P40" s="199"/>
      <c r="Q40" s="138"/>
      <c r="R40" s="138"/>
      <c r="S40" s="138"/>
      <c r="T40" s="138"/>
      <c r="U40" s="138"/>
      <c r="V40" s="138"/>
      <c r="W40" s="138"/>
      <c r="X40" s="138"/>
    </row>
    <row r="41" spans="1:24" ht="5.25" customHeight="1" x14ac:dyDescent="0.15">
      <c r="A41" s="138"/>
      <c r="B41" s="164"/>
      <c r="C41" s="152"/>
      <c r="D41" s="150"/>
      <c r="E41" s="153"/>
      <c r="F41" s="153"/>
      <c r="G41" s="153"/>
      <c r="H41" s="153"/>
      <c r="I41" s="153"/>
      <c r="J41" s="180"/>
      <c r="K41" s="152"/>
      <c r="L41" s="150"/>
      <c r="M41" s="153"/>
      <c r="N41" s="153"/>
      <c r="O41" s="153"/>
      <c r="P41" s="200"/>
      <c r="Q41" s="138"/>
      <c r="R41" s="138"/>
      <c r="S41" s="138"/>
      <c r="T41" s="138"/>
      <c r="U41" s="138"/>
      <c r="V41" s="138"/>
      <c r="W41" s="138"/>
      <c r="X41" s="138"/>
    </row>
    <row r="42" spans="1:24" ht="14.25" customHeight="1" x14ac:dyDescent="0.15">
      <c r="A42" s="138"/>
      <c r="B42" s="164"/>
      <c r="C42" s="150"/>
      <c r="D42" s="150"/>
      <c r="E42" s="167" t="s">
        <v>347</v>
      </c>
      <c r="F42" s="203" t="str">
        <f>IF(CALCULATION!H78=0,"YES","NO")</f>
        <v>YES</v>
      </c>
      <c r="G42" s="204"/>
      <c r="H42" s="205"/>
      <c r="I42" s="205"/>
      <c r="J42" s="205"/>
      <c r="K42" s="206"/>
      <c r="L42" s="206"/>
      <c r="M42" s="203" t="str">
        <f>IFERROR(IF(CALCULATION!C12="NE", "NO","YES"), "")</f>
        <v>NO</v>
      </c>
      <c r="N42" s="165"/>
      <c r="O42" s="203" t="str">
        <f>IFERROR(IF(OR(CALCULATION!C12="E", CALCULATION!H176=1,(F14+F16+F18)&gt;11), "NO", "YES"), "")</f>
        <v>NO</v>
      </c>
      <c r="P42" s="201"/>
      <c r="Q42" s="138"/>
      <c r="R42" s="138"/>
      <c r="S42" s="138"/>
      <c r="T42" s="138"/>
      <c r="U42" s="138"/>
      <c r="V42" s="138"/>
      <c r="W42" s="138"/>
      <c r="X42" s="138"/>
    </row>
    <row r="43" spans="1:24" ht="5.25" customHeight="1" x14ac:dyDescent="0.15">
      <c r="A43" s="138"/>
      <c r="B43" s="164"/>
      <c r="C43" s="152"/>
      <c r="D43" s="150"/>
      <c r="E43" s="153"/>
      <c r="F43" s="207"/>
      <c r="G43" s="153"/>
      <c r="H43" s="153"/>
      <c r="I43" s="153"/>
      <c r="J43" s="208"/>
      <c r="K43" s="209"/>
      <c r="L43" s="206"/>
      <c r="M43" s="153"/>
      <c r="N43" s="166"/>
      <c r="O43" s="210"/>
      <c r="P43" s="200"/>
      <c r="Q43" s="138"/>
      <c r="R43" s="138"/>
      <c r="S43" s="138"/>
      <c r="T43" s="138"/>
      <c r="U43" s="138"/>
      <c r="V43" s="138"/>
      <c r="W43" s="138"/>
      <c r="X43" s="138"/>
    </row>
    <row r="44" spans="1:24" x14ac:dyDescent="0.15">
      <c r="A44" s="138"/>
      <c r="B44" s="164"/>
      <c r="C44" s="150"/>
      <c r="D44" s="150"/>
      <c r="E44" s="154" t="s">
        <v>251</v>
      </c>
      <c r="F44" s="203">
        <f>IFERROR(IF(F42="NO","",CALCULATION!G220),"")</f>
        <v>60400</v>
      </c>
      <c r="G44" s="204"/>
      <c r="H44" s="205"/>
      <c r="I44" s="205"/>
      <c r="J44" s="205"/>
      <c r="K44" s="206"/>
      <c r="L44" s="206"/>
      <c r="M44" s="211" t="str">
        <f>IFERROR(IF(M42="NO","",CALCULATION!G246),"")</f>
        <v/>
      </c>
      <c r="N44" s="153"/>
      <c r="O44" s="203" t="str">
        <f>IFERROR(IF(O42="NO", "", CALCULATION!G314), "")</f>
        <v/>
      </c>
      <c r="P44" s="201"/>
      <c r="Q44" s="138"/>
      <c r="R44" s="138"/>
      <c r="S44" s="138"/>
      <c r="T44" s="138"/>
      <c r="U44" s="138"/>
      <c r="V44" s="138"/>
      <c r="W44" s="138"/>
      <c r="X44" s="138"/>
    </row>
    <row r="45" spans="1:24" ht="5.25" customHeight="1" x14ac:dyDescent="0.15">
      <c r="A45" s="138"/>
      <c r="B45" s="164"/>
      <c r="C45" s="152"/>
      <c r="D45" s="150"/>
      <c r="E45" s="153"/>
      <c r="F45" s="207"/>
      <c r="G45" s="153"/>
      <c r="H45" s="153"/>
      <c r="I45" s="153"/>
      <c r="J45" s="208"/>
      <c r="K45" s="209"/>
      <c r="L45" s="206"/>
      <c r="M45" s="153"/>
      <c r="N45" s="165"/>
      <c r="O45" s="210"/>
      <c r="P45" s="200"/>
      <c r="Q45" s="138"/>
      <c r="R45" s="138"/>
      <c r="S45" s="138"/>
      <c r="T45" s="138"/>
      <c r="U45" s="138"/>
      <c r="V45" s="138"/>
      <c r="W45" s="138"/>
      <c r="X45" s="138"/>
    </row>
    <row r="46" spans="1:24" x14ac:dyDescent="0.15">
      <c r="A46" s="138"/>
      <c r="B46" s="164"/>
      <c r="C46" s="150"/>
      <c r="D46" s="150"/>
      <c r="E46" s="154" t="s">
        <v>197</v>
      </c>
      <c r="F46" s="212">
        <f>IFERROR(IF(F42="NO","",CALCULATION!G237),"")</f>
        <v>245.07668862314571</v>
      </c>
      <c r="G46" s="204"/>
      <c r="H46" s="205"/>
      <c r="I46" s="205"/>
      <c r="J46" s="205"/>
      <c r="K46" s="206"/>
      <c r="L46" s="206"/>
      <c r="M46" s="212" t="str">
        <f>IFERROR(IF(M42="NO","",CALCULATION!G263),"")</f>
        <v/>
      </c>
      <c r="N46" s="166"/>
      <c r="O46" s="212" t="str">
        <f>IFERROR(IF(O42="NO", "", CALCULATION!G331),"")</f>
        <v/>
      </c>
      <c r="P46" s="201"/>
      <c r="Q46" s="138"/>
      <c r="R46" s="138"/>
      <c r="S46" s="138"/>
      <c r="T46" s="138"/>
      <c r="U46" s="138"/>
      <c r="V46" s="138"/>
      <c r="W46" s="138"/>
      <c r="X46" s="138"/>
    </row>
    <row r="47" spans="1:24" ht="5.25" customHeight="1" x14ac:dyDescent="0.15">
      <c r="A47" s="138"/>
      <c r="B47" s="164"/>
      <c r="C47" s="152"/>
      <c r="D47" s="150"/>
      <c r="E47" s="153"/>
      <c r="F47" s="207"/>
      <c r="G47" s="153"/>
      <c r="H47" s="153"/>
      <c r="I47" s="153"/>
      <c r="J47" s="208"/>
      <c r="K47" s="209"/>
      <c r="L47" s="206"/>
      <c r="M47" s="153"/>
      <c r="N47" s="153"/>
      <c r="O47" s="210"/>
      <c r="P47" s="200"/>
      <c r="Q47" s="138"/>
      <c r="R47" s="138"/>
      <c r="S47" s="138"/>
      <c r="T47" s="138"/>
      <c r="U47" s="138"/>
      <c r="V47" s="138"/>
      <c r="W47" s="138"/>
      <c r="X47" s="138"/>
    </row>
    <row r="48" spans="1:24" ht="16" x14ac:dyDescent="0.15">
      <c r="A48" s="138"/>
      <c r="B48" s="164"/>
      <c r="C48" s="150"/>
      <c r="D48" s="150"/>
      <c r="E48" s="154" t="s">
        <v>198</v>
      </c>
      <c r="F48" s="213">
        <f>IFERROR(IF(F42="NO","",CALCULATION!G238),"")</f>
        <v>703.73910977312642</v>
      </c>
      <c r="G48" s="204"/>
      <c r="H48" s="205"/>
      <c r="I48" s="205"/>
      <c r="J48" s="205"/>
      <c r="K48" s="206"/>
      <c r="L48" s="206"/>
      <c r="M48" s="213" t="str">
        <f>IFERROR(IF(M42="NO","",CALCULATION!G264),"")</f>
        <v/>
      </c>
      <c r="N48" s="165"/>
      <c r="O48" s="213" t="str">
        <f>IFERROR(IF(O42="NO", "", CALCULATION!G332),"")</f>
        <v/>
      </c>
      <c r="P48" s="201"/>
      <c r="Q48" s="138"/>
      <c r="R48" s="138"/>
      <c r="S48" s="138"/>
      <c r="T48" s="138"/>
      <c r="U48" s="138"/>
      <c r="V48" s="138"/>
      <c r="W48" s="138"/>
      <c r="X48" s="138"/>
    </row>
    <row r="49" spans="1:24" ht="31.5" customHeight="1" x14ac:dyDescent="0.15">
      <c r="A49" s="138"/>
      <c r="B49" s="164"/>
      <c r="C49" s="152"/>
      <c r="D49" s="150"/>
      <c r="E49" s="153"/>
      <c r="F49" s="153"/>
      <c r="G49" s="153"/>
      <c r="H49" s="153"/>
      <c r="I49" s="153"/>
      <c r="J49" s="208"/>
      <c r="K49" s="209"/>
      <c r="L49" s="206"/>
      <c r="M49" s="153"/>
      <c r="N49" s="166"/>
      <c r="O49" s="244" t="str">
        <f>IF(F14+F16+F18&gt;11,"Note: The model does not present the result for this configuration, which is however technically feasible","")</f>
        <v>Note: The model does not present the result for this configuration, which is however technically feasible</v>
      </c>
      <c r="P49" s="200"/>
      <c r="Q49" s="138"/>
      <c r="R49" s="138"/>
      <c r="S49" s="138"/>
      <c r="T49" s="138"/>
      <c r="U49" s="138"/>
      <c r="V49" s="138"/>
      <c r="W49" s="138"/>
      <c r="X49" s="138"/>
    </row>
    <row r="50" spans="1:24" ht="6.75" customHeight="1" x14ac:dyDescent="0.15">
      <c r="A50" s="138"/>
      <c r="B50" s="168"/>
      <c r="C50" s="169"/>
      <c r="D50" s="169"/>
      <c r="E50" s="170"/>
      <c r="F50" s="214"/>
      <c r="G50" s="215"/>
      <c r="H50" s="216"/>
      <c r="I50" s="216"/>
      <c r="J50" s="217"/>
      <c r="K50" s="169"/>
      <c r="L50" s="169"/>
      <c r="M50" s="170"/>
      <c r="N50" s="170"/>
      <c r="O50" s="214"/>
      <c r="P50" s="202"/>
      <c r="Q50" s="138"/>
      <c r="R50" s="138"/>
      <c r="S50" s="138"/>
      <c r="T50" s="138"/>
      <c r="U50" s="138"/>
      <c r="V50" s="138"/>
      <c r="W50" s="138"/>
      <c r="X50" s="138"/>
    </row>
    <row r="51" spans="1:24" x14ac:dyDescent="0.1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row>
    <row r="52" spans="1:24" ht="20" x14ac:dyDescent="0.15">
      <c r="A52" s="138"/>
      <c r="B52" s="144" t="s">
        <v>350</v>
      </c>
      <c r="C52" s="138"/>
      <c r="D52" s="138"/>
      <c r="E52" s="138"/>
      <c r="F52" s="138"/>
      <c r="G52" s="138"/>
      <c r="H52" s="138"/>
      <c r="I52" s="138"/>
      <c r="J52" s="138"/>
      <c r="K52" s="138"/>
      <c r="L52" s="138"/>
      <c r="M52" s="138"/>
      <c r="N52" s="138"/>
      <c r="O52" s="138"/>
      <c r="P52" s="138"/>
      <c r="Q52" s="138"/>
      <c r="R52" s="138"/>
      <c r="S52" s="138"/>
      <c r="T52" s="138"/>
      <c r="U52" s="138"/>
      <c r="V52" s="138"/>
      <c r="W52" s="138"/>
      <c r="X52" s="138"/>
    </row>
    <row r="53" spans="1:24" x14ac:dyDescent="0.15">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x14ac:dyDescent="0.15">
      <c r="A54" s="138"/>
      <c r="B54" s="232"/>
      <c r="C54" s="233"/>
      <c r="D54" s="233"/>
      <c r="E54" s="233"/>
      <c r="F54" s="233"/>
      <c r="G54" s="233"/>
      <c r="H54" s="233"/>
      <c r="I54" s="233"/>
      <c r="J54" s="233"/>
      <c r="K54" s="233"/>
      <c r="L54" s="233"/>
      <c r="M54" s="233"/>
      <c r="N54" s="233"/>
      <c r="O54" s="233"/>
      <c r="P54" s="234"/>
      <c r="Q54" s="138"/>
      <c r="R54" s="138"/>
      <c r="S54" s="138"/>
      <c r="T54" s="138"/>
      <c r="U54" s="138"/>
      <c r="V54" s="138"/>
      <c r="W54" s="138"/>
      <c r="X54" s="138"/>
    </row>
    <row r="55" spans="1:24" x14ac:dyDescent="0.15">
      <c r="A55" s="138"/>
      <c r="B55" s="235"/>
      <c r="C55" s="180"/>
      <c r="D55" s="180"/>
      <c r="E55" s="225" t="s">
        <v>351</v>
      </c>
      <c r="F55" s="226">
        <f>IF(F42="NO", "", SUM(CALCULATION!F73:F80)-SUM(CALCULATION!F98:F101))</f>
        <v>54400</v>
      </c>
      <c r="G55" s="227"/>
      <c r="H55" s="227"/>
      <c r="I55" s="227"/>
      <c r="J55" s="227"/>
      <c r="K55" s="180"/>
      <c r="L55" s="180"/>
      <c r="M55" s="226" t="str">
        <f>IF($M42="NO", "", SUM(CALCULATION!H136:H139,CALCULATION!H142:H143)-SUM(CALCULATION!$F$98:$F$101))</f>
        <v/>
      </c>
      <c r="N55" s="180"/>
      <c r="O55" s="226" t="str">
        <f>IF($O42="NO", "", SUM(CALCULATION!H190:H199)-SUM(CALCULATION!$F$98:$F$101))</f>
        <v/>
      </c>
      <c r="P55" s="236"/>
      <c r="Q55" s="138"/>
      <c r="R55" s="138"/>
      <c r="S55" s="138"/>
      <c r="T55" s="138"/>
      <c r="U55" s="138"/>
      <c r="V55" s="138"/>
      <c r="W55" s="138"/>
      <c r="X55" s="138"/>
    </row>
    <row r="56" spans="1:24" ht="6" customHeight="1" x14ac:dyDescent="0.15">
      <c r="A56" s="138"/>
      <c r="B56" s="235"/>
      <c r="C56" s="180"/>
      <c r="D56" s="180"/>
      <c r="E56" s="228"/>
      <c r="F56" s="229"/>
      <c r="G56" s="180"/>
      <c r="H56" s="180"/>
      <c r="I56" s="180"/>
      <c r="J56" s="180"/>
      <c r="K56" s="180"/>
      <c r="L56" s="180"/>
      <c r="M56" s="229"/>
      <c r="N56" s="180"/>
      <c r="O56" s="229"/>
      <c r="P56" s="236"/>
      <c r="Q56" s="138"/>
      <c r="R56" s="138"/>
      <c r="S56" s="138"/>
      <c r="T56" s="138"/>
      <c r="U56" s="138"/>
      <c r="V56" s="138"/>
      <c r="W56" s="138"/>
      <c r="X56" s="138"/>
    </row>
    <row r="57" spans="1:24" x14ac:dyDescent="0.15">
      <c r="A57" s="138"/>
      <c r="B57" s="235"/>
      <c r="C57" s="180"/>
      <c r="D57" s="180"/>
      <c r="E57" s="225" t="s">
        <v>352</v>
      </c>
      <c r="F57" s="226">
        <f>IF($F$42="NO","",(F55*Interest_Rate*(1+Interest_Rate)^$O$18)/((1+Interest_Rate)^$O$18-1))</f>
        <v>7745.3361483686404</v>
      </c>
      <c r="G57" s="227"/>
      <c r="H57" s="227"/>
      <c r="I57" s="227"/>
      <c r="J57" s="227"/>
      <c r="K57" s="180"/>
      <c r="L57" s="180"/>
      <c r="M57" s="226" t="str">
        <f>IF($M$42="NO","",(M55*Interest_Rate*(1+Interest_Rate)^$O$18)/((1+Interest_Rate)^$O$18-1))</f>
        <v/>
      </c>
      <c r="N57" s="180"/>
      <c r="O57" s="226" t="str">
        <f>IF($O$42="NO","",(O55*Interest_Rate*(1+Interest_Rate)^$O$18)/((1+Interest_Rate)^$O$18-1))</f>
        <v/>
      </c>
      <c r="P57" s="236"/>
      <c r="Q57" s="138"/>
      <c r="R57" s="138"/>
      <c r="S57" s="138"/>
      <c r="T57" s="138"/>
      <c r="U57" s="138"/>
      <c r="V57" s="138"/>
      <c r="W57" s="138"/>
      <c r="X57" s="138"/>
    </row>
    <row r="58" spans="1:24" ht="6" customHeight="1" x14ac:dyDescent="0.15">
      <c r="A58" s="138"/>
      <c r="B58" s="235"/>
      <c r="C58" s="180"/>
      <c r="D58" s="180"/>
      <c r="E58" s="228"/>
      <c r="F58" s="218">
        <f>IF(F42="NO", "", SUM(CALCULATION!F81)-SUM(CALCULATION!F102:F103))</f>
        <v>6000</v>
      </c>
      <c r="G58" s="180"/>
      <c r="H58" s="180"/>
      <c r="I58" s="180"/>
      <c r="J58" s="180"/>
      <c r="K58" s="180"/>
      <c r="L58" s="180"/>
      <c r="M58" s="218" t="str">
        <f>IF(M42="NO", "", SUM(CALCULATION!M81)-SUM(CALCULATION!M102:M103))</f>
        <v/>
      </c>
      <c r="N58" s="180"/>
      <c r="O58" s="218" t="str">
        <f>IF(O42="NO", "", SUM(CALCULATION!O81)-SUM(CALCULATION!O102:O103))</f>
        <v/>
      </c>
      <c r="P58" s="236"/>
      <c r="Q58" s="138"/>
      <c r="R58" s="138"/>
      <c r="S58" s="138"/>
      <c r="T58" s="138"/>
      <c r="U58" s="138"/>
      <c r="V58" s="138"/>
      <c r="W58" s="138"/>
      <c r="X58" s="138"/>
    </row>
    <row r="59" spans="1:24" x14ac:dyDescent="0.15">
      <c r="A59" s="138"/>
      <c r="B59" s="235"/>
      <c r="C59" s="180"/>
      <c r="D59" s="180"/>
      <c r="E59" s="225" t="s">
        <v>353</v>
      </c>
      <c r="F59" s="226">
        <f>IF(F42="NO", "", SUM(CALCULATION!F81)-SUM(CALCULATION!F102:F103))</f>
        <v>6000</v>
      </c>
      <c r="G59" s="227"/>
      <c r="H59" s="227"/>
      <c r="I59" s="227"/>
      <c r="J59" s="227"/>
      <c r="K59" s="180"/>
      <c r="L59" s="180"/>
      <c r="M59" s="226" t="str">
        <f>IF(M42="NO", "", SUM(CALCULATION!H140:H141,CALCULATION!H144)-SUM(CALCULATION!$F$102:$F$103))</f>
        <v/>
      </c>
      <c r="N59" s="180"/>
      <c r="O59" s="226" t="str">
        <f>IF(O42="NO", "", SUM(CALCULATION!H200)-SUM(CALCULATION!$F$102:$F$103))</f>
        <v/>
      </c>
      <c r="P59" s="236"/>
      <c r="Q59" s="138"/>
      <c r="R59" s="138"/>
      <c r="S59" s="138"/>
      <c r="T59" s="138"/>
      <c r="U59" s="138"/>
      <c r="V59" s="138"/>
      <c r="W59" s="138"/>
      <c r="X59" s="138"/>
    </row>
    <row r="60" spans="1:24" ht="5.5" customHeight="1" x14ac:dyDescent="0.15">
      <c r="A60" s="138"/>
      <c r="B60" s="235"/>
      <c r="C60" s="180"/>
      <c r="D60" s="180"/>
      <c r="E60" s="228"/>
      <c r="F60" s="229"/>
      <c r="G60" s="180"/>
      <c r="H60" s="180"/>
      <c r="I60" s="180"/>
      <c r="J60" s="180"/>
      <c r="K60" s="180"/>
      <c r="L60" s="180"/>
      <c r="M60" s="229"/>
      <c r="N60" s="180"/>
      <c r="O60" s="229"/>
      <c r="P60" s="236"/>
      <c r="Q60" s="138"/>
      <c r="R60" s="138"/>
      <c r="S60" s="138"/>
      <c r="T60" s="138"/>
      <c r="U60" s="138"/>
      <c r="V60" s="138"/>
      <c r="W60" s="138"/>
      <c r="X60" s="138"/>
    </row>
    <row r="61" spans="1:24" x14ac:dyDescent="0.15">
      <c r="A61" s="138"/>
      <c r="B61" s="235"/>
      <c r="C61" s="180"/>
      <c r="D61" s="180"/>
      <c r="E61" s="225" t="s">
        <v>354</v>
      </c>
      <c r="F61" s="226">
        <f>IF($F$42="NO","",(F59*Interest_Rate*(1+Interest_Rate)^$O$18)/((1+Interest_Rate)^$O$18-1))</f>
        <v>854.26501636418834</v>
      </c>
      <c r="G61" s="227"/>
      <c r="H61" s="227"/>
      <c r="I61" s="227"/>
      <c r="J61" s="227"/>
      <c r="K61" s="180"/>
      <c r="L61" s="180"/>
      <c r="M61" s="226" t="str">
        <f>IF($M$42="NO","",(M59*Interest_Rate*(1+Interest_Rate)^$O$18)/((1+Interest_Rate)^$O$18-1))</f>
        <v/>
      </c>
      <c r="N61" s="180"/>
      <c r="O61" s="226" t="str">
        <f>IF($O$42="NO","",(O59*Interest_Rate*(1+Interest_Rate)^$O$18)/((1+Interest_Rate)^$O$18-1))</f>
        <v/>
      </c>
      <c r="P61" s="236"/>
      <c r="Q61" s="138"/>
      <c r="R61" s="138"/>
      <c r="S61" s="138"/>
      <c r="T61" s="138"/>
      <c r="U61" s="138"/>
      <c r="V61" s="138"/>
      <c r="W61" s="138"/>
      <c r="X61" s="138"/>
    </row>
    <row r="62" spans="1:24" ht="5.5" customHeight="1" x14ac:dyDescent="0.15">
      <c r="A62" s="138"/>
      <c r="B62" s="235"/>
      <c r="C62" s="180"/>
      <c r="D62" s="180"/>
      <c r="E62" s="228"/>
      <c r="F62" s="229"/>
      <c r="G62" s="180"/>
      <c r="H62" s="180"/>
      <c r="I62" s="180"/>
      <c r="J62" s="180"/>
      <c r="K62" s="180"/>
      <c r="L62" s="180"/>
      <c r="M62" s="229"/>
      <c r="N62" s="180"/>
      <c r="O62" s="229"/>
      <c r="P62" s="236"/>
      <c r="Q62" s="138"/>
      <c r="R62" s="138"/>
      <c r="S62" s="138"/>
      <c r="T62" s="138"/>
      <c r="U62" s="138"/>
      <c r="V62" s="138"/>
      <c r="W62" s="138"/>
      <c r="X62" s="138"/>
    </row>
    <row r="63" spans="1:24" x14ac:dyDescent="0.15">
      <c r="A63" s="138"/>
      <c r="B63" s="235"/>
      <c r="C63" s="180"/>
      <c r="D63" s="180"/>
      <c r="E63" s="225" t="s">
        <v>355</v>
      </c>
      <c r="F63" s="226">
        <f>IF(F42="NO", "", CALCULATION!G220)</f>
        <v>60400</v>
      </c>
      <c r="G63" s="227"/>
      <c r="H63" s="227"/>
      <c r="I63" s="227"/>
      <c r="J63" s="227"/>
      <c r="K63" s="180"/>
      <c r="L63" s="180"/>
      <c r="M63" s="226" t="str">
        <f>IF(M42="NO", "", CALCULATION!G246)</f>
        <v/>
      </c>
      <c r="N63" s="180"/>
      <c r="O63" s="226" t="str">
        <f>IF(O42="NO", "", CALCULATION!G314)</f>
        <v/>
      </c>
      <c r="P63" s="236"/>
      <c r="Q63" s="138"/>
      <c r="R63" s="138"/>
      <c r="S63" s="138"/>
      <c r="T63" s="138"/>
      <c r="U63" s="138"/>
      <c r="V63" s="138"/>
      <c r="W63" s="138"/>
      <c r="X63" s="138"/>
    </row>
    <row r="64" spans="1:24" ht="6" customHeight="1" x14ac:dyDescent="0.15">
      <c r="A64" s="138"/>
      <c r="B64" s="235"/>
      <c r="C64" s="180"/>
      <c r="D64" s="180"/>
      <c r="E64" s="228"/>
      <c r="F64" s="229"/>
      <c r="G64" s="180"/>
      <c r="H64" s="180"/>
      <c r="I64" s="180"/>
      <c r="J64" s="180"/>
      <c r="K64" s="180"/>
      <c r="L64" s="180"/>
      <c r="M64" s="229"/>
      <c r="N64" s="180"/>
      <c r="O64" s="229"/>
      <c r="P64" s="236"/>
      <c r="Q64" s="138"/>
      <c r="R64" s="138"/>
      <c r="S64" s="138"/>
      <c r="T64" s="138"/>
      <c r="U64" s="138"/>
      <c r="V64" s="138"/>
      <c r="W64" s="138"/>
      <c r="X64" s="138"/>
    </row>
    <row r="65" spans="1:34" x14ac:dyDescent="0.15">
      <c r="A65" s="138"/>
      <c r="B65" s="235"/>
      <c r="C65" s="180"/>
      <c r="D65" s="180"/>
      <c r="E65" s="225" t="s">
        <v>356</v>
      </c>
      <c r="F65" s="226">
        <f>IF($F$42="NO","",(F63*Interest_Rate*(1+Interest_Rate)^$O$18)/((1+Interest_Rate)^$O$18-1))</f>
        <v>8599.6011647328287</v>
      </c>
      <c r="G65" s="227"/>
      <c r="H65" s="227"/>
      <c r="I65" s="227"/>
      <c r="J65" s="227"/>
      <c r="K65" s="180"/>
      <c r="L65" s="180"/>
      <c r="M65" s="226" t="str">
        <f>IF($M$42="NO","",(M63*Interest_Rate*(1+Interest_Rate)^$O$18)/((1+Interest_Rate)^$O$18-1))</f>
        <v/>
      </c>
      <c r="N65" s="180"/>
      <c r="O65" s="226" t="str">
        <f>IF($O$42="NO","",(O63*Interest_Rate*(1+Interest_Rate)^$O$18)/((1+Interest_Rate)^$O$18-1))</f>
        <v/>
      </c>
      <c r="P65" s="236"/>
      <c r="Q65" s="138"/>
      <c r="R65" s="138"/>
      <c r="S65" s="138"/>
      <c r="T65" s="138"/>
      <c r="U65" s="138"/>
      <c r="V65" s="138"/>
      <c r="W65" s="138"/>
      <c r="X65" s="138"/>
    </row>
    <row r="66" spans="1:34" ht="5.5" customHeight="1" x14ac:dyDescent="0.15">
      <c r="A66" s="138"/>
      <c r="B66" s="235"/>
      <c r="C66" s="180"/>
      <c r="D66" s="180"/>
      <c r="E66" s="228"/>
      <c r="F66" s="229"/>
      <c r="G66" s="180"/>
      <c r="H66" s="180"/>
      <c r="I66" s="180"/>
      <c r="J66" s="180"/>
      <c r="K66" s="180"/>
      <c r="L66" s="180"/>
      <c r="M66" s="229"/>
      <c r="N66" s="180"/>
      <c r="O66" s="229"/>
      <c r="P66" s="236"/>
      <c r="Q66" s="138"/>
      <c r="R66" s="138"/>
      <c r="S66" s="138"/>
      <c r="T66" s="138"/>
      <c r="U66" s="138"/>
      <c r="V66" s="138"/>
      <c r="W66" s="138"/>
      <c r="X66" s="138"/>
    </row>
    <row r="67" spans="1:34" x14ac:dyDescent="0.15">
      <c r="A67" s="138"/>
      <c r="B67" s="235"/>
      <c r="C67" s="180"/>
      <c r="D67" s="180"/>
      <c r="E67" s="225" t="s">
        <v>357</v>
      </c>
      <c r="F67" s="226">
        <f>IF(F42="NO", "", AVERAGE(CALCULATION!H224:V224))</f>
        <v>240</v>
      </c>
      <c r="G67" s="227"/>
      <c r="H67" s="227"/>
      <c r="I67" s="227"/>
      <c r="J67" s="227"/>
      <c r="K67" s="180"/>
      <c r="L67" s="180"/>
      <c r="M67" s="226" t="str">
        <f>IF(M42="NO", "", AVERAGE(CALCULATION!H250:V250))</f>
        <v/>
      </c>
      <c r="N67" s="180"/>
      <c r="O67" s="226" t="str">
        <f>IF(O42="NO", "", AVERAGE(CALCULATION!H318:V318))</f>
        <v/>
      </c>
      <c r="P67" s="236"/>
      <c r="Q67" s="138"/>
      <c r="R67" s="138"/>
      <c r="S67" s="138"/>
      <c r="T67" s="138"/>
      <c r="U67" s="138"/>
      <c r="V67" s="138"/>
      <c r="W67" s="138"/>
      <c r="X67" s="138"/>
    </row>
    <row r="68" spans="1:34" ht="5.5" customHeight="1" x14ac:dyDescent="0.15">
      <c r="A68" s="138"/>
      <c r="B68" s="235"/>
      <c r="C68" s="180"/>
      <c r="D68" s="180"/>
      <c r="E68" s="228"/>
      <c r="F68" s="229"/>
      <c r="G68" s="180"/>
      <c r="H68" s="180"/>
      <c r="I68" s="180"/>
      <c r="J68" s="180"/>
      <c r="K68" s="180"/>
      <c r="L68" s="180"/>
      <c r="M68" s="229"/>
      <c r="N68" s="180"/>
      <c r="O68" s="229"/>
      <c r="P68" s="236"/>
      <c r="Q68" s="138"/>
      <c r="R68" s="138"/>
      <c r="S68" s="138"/>
      <c r="T68" s="138"/>
      <c r="U68" s="138"/>
      <c r="V68" s="138"/>
      <c r="W68" s="138"/>
      <c r="X68" s="138"/>
    </row>
    <row r="69" spans="1:34" x14ac:dyDescent="0.15">
      <c r="A69" s="138"/>
      <c r="B69" s="235"/>
      <c r="C69" s="180"/>
      <c r="D69" s="180"/>
      <c r="E69" s="225" t="s">
        <v>358</v>
      </c>
      <c r="F69" s="226">
        <f>IF(F42="NO", "", CALCULATION!H228)</f>
        <v>2683.3632000000002</v>
      </c>
      <c r="G69" s="227"/>
      <c r="H69" s="227"/>
      <c r="I69" s="227"/>
      <c r="J69" s="227"/>
      <c r="K69" s="180"/>
      <c r="L69" s="180"/>
      <c r="M69" s="226" t="str">
        <f>IF(M42="NO", "", CALCULATION!H254)</f>
        <v/>
      </c>
      <c r="N69" s="180"/>
      <c r="O69" s="226" t="str">
        <f>IF(O42="NO", "", CALCULATION!H322)</f>
        <v/>
      </c>
      <c r="P69" s="236"/>
      <c r="Q69" s="138"/>
      <c r="R69" s="138"/>
      <c r="S69" s="138"/>
      <c r="T69" s="138"/>
      <c r="U69" s="138"/>
      <c r="V69" s="138"/>
      <c r="W69" s="138"/>
      <c r="X69" s="138"/>
    </row>
    <row r="70" spans="1:34" ht="5.5" customHeight="1" x14ac:dyDescent="0.15">
      <c r="A70" s="138"/>
      <c r="B70" s="235"/>
      <c r="C70" s="180"/>
      <c r="D70" s="180"/>
      <c r="E70" s="228"/>
      <c r="F70" s="229"/>
      <c r="G70" s="180"/>
      <c r="H70" s="180"/>
      <c r="I70" s="180"/>
      <c r="J70" s="180"/>
      <c r="K70" s="180"/>
      <c r="L70" s="180"/>
      <c r="M70" s="229"/>
      <c r="N70" s="180"/>
      <c r="O70" s="229"/>
      <c r="P70" s="236"/>
      <c r="Q70" s="138"/>
      <c r="R70" s="138"/>
      <c r="S70" s="138"/>
      <c r="T70" s="138"/>
      <c r="U70" s="138"/>
      <c r="V70" s="138"/>
      <c r="W70" s="138"/>
      <c r="X70" s="138"/>
    </row>
    <row r="71" spans="1:34" x14ac:dyDescent="0.15">
      <c r="A71" s="138"/>
      <c r="B71" s="235"/>
      <c r="C71" s="180"/>
      <c r="D71" s="180"/>
      <c r="E71" s="225" t="s">
        <v>359</v>
      </c>
      <c r="F71" s="226">
        <f>IF(F42="NO", "", F65+F67-F69)</f>
        <v>6156.2379647328289</v>
      </c>
      <c r="G71" s="226"/>
      <c r="H71" s="226"/>
      <c r="I71" s="226"/>
      <c r="J71" s="226"/>
      <c r="K71" s="180"/>
      <c r="L71" s="180"/>
      <c r="M71" s="226" t="str">
        <f>IF(M42="NO", "", M65+M67-M69)</f>
        <v/>
      </c>
      <c r="N71" s="180"/>
      <c r="O71" s="226" t="str">
        <f>IF(O42="NO", "", O65+O67-O69)</f>
        <v/>
      </c>
      <c r="P71" s="236"/>
      <c r="Q71" s="138"/>
      <c r="R71" s="138"/>
      <c r="S71" s="138"/>
      <c r="T71" s="138"/>
      <c r="U71" s="138"/>
      <c r="V71" s="138"/>
      <c r="W71" s="138"/>
      <c r="X71" s="138"/>
    </row>
    <row r="72" spans="1:34" ht="13" customHeight="1" x14ac:dyDescent="0.15">
      <c r="A72" s="138"/>
      <c r="B72" s="235"/>
      <c r="C72" s="180"/>
      <c r="D72" s="180"/>
      <c r="E72" s="225"/>
      <c r="F72" s="229" t="str">
        <f>M46</f>
        <v/>
      </c>
      <c r="G72" s="229">
        <f>G71</f>
        <v>0</v>
      </c>
      <c r="H72" s="229"/>
      <c r="I72" s="229"/>
      <c r="J72" s="229"/>
      <c r="K72" s="180"/>
      <c r="L72" s="180"/>
      <c r="M72" s="229">
        <f>T46</f>
        <v>0</v>
      </c>
      <c r="N72" s="180"/>
      <c r="O72" s="229">
        <f>V46</f>
        <v>0</v>
      </c>
      <c r="P72" s="236"/>
      <c r="Q72" s="138"/>
      <c r="R72" s="138"/>
      <c r="S72" s="138"/>
      <c r="T72" s="138"/>
      <c r="U72" s="138"/>
      <c r="V72" s="138"/>
      <c r="W72" s="138"/>
      <c r="X72" s="138"/>
    </row>
    <row r="73" spans="1:34" ht="6" customHeight="1" x14ac:dyDescent="0.15">
      <c r="A73" s="138"/>
      <c r="B73" s="235"/>
      <c r="C73" s="180"/>
      <c r="D73" s="180"/>
      <c r="E73" s="225"/>
      <c r="F73" s="229"/>
      <c r="G73" s="229"/>
      <c r="H73" s="229"/>
      <c r="I73" s="229"/>
      <c r="J73" s="229"/>
      <c r="K73" s="180"/>
      <c r="L73" s="180"/>
      <c r="M73" s="229"/>
      <c r="N73" s="180"/>
      <c r="O73" s="229"/>
      <c r="P73" s="236"/>
      <c r="Q73" s="138"/>
      <c r="R73" s="138"/>
      <c r="S73" s="138"/>
      <c r="T73" s="138"/>
      <c r="U73" s="138"/>
      <c r="V73" s="138"/>
      <c r="W73" s="138"/>
      <c r="X73" s="138"/>
    </row>
    <row r="74" spans="1:34" x14ac:dyDescent="0.15">
      <c r="A74" s="138"/>
      <c r="B74" s="235"/>
      <c r="C74" s="180"/>
      <c r="D74" s="180"/>
      <c r="E74" s="225" t="s">
        <v>360</v>
      </c>
      <c r="F74" s="230">
        <f>IF(F42="NO", "", IFERROR(ASSUMPTIONS!C131*CALCULATION!H229, ""))</f>
        <v>6.8524148819617636</v>
      </c>
      <c r="G74" s="231"/>
      <c r="H74" s="231"/>
      <c r="I74" s="231"/>
      <c r="J74" s="231"/>
      <c r="K74" s="180"/>
      <c r="L74" s="180"/>
      <c r="M74" s="230" t="str">
        <f>IF(M42="NO", "", IFERROR(ASSUMPTIONS!$C$131*CALCULATION!H255, ""))</f>
        <v/>
      </c>
      <c r="N74" s="180"/>
      <c r="O74" s="230" t="str">
        <f>IF(O42="NO", "", IFERROR(ASSUMPTIONS!$C$131*CALCULATION!H323, ""))</f>
        <v/>
      </c>
      <c r="P74" s="236"/>
      <c r="Q74" s="138"/>
      <c r="R74" s="138"/>
      <c r="S74" s="138"/>
      <c r="T74" s="138"/>
      <c r="U74" s="138"/>
      <c r="V74" s="138"/>
      <c r="W74" s="138"/>
      <c r="X74" s="138"/>
    </row>
    <row r="75" spans="1:34" ht="5.5" customHeight="1" x14ac:dyDescent="0.15">
      <c r="A75" s="138"/>
      <c r="B75" s="235"/>
      <c r="C75" s="180"/>
      <c r="D75" s="180"/>
      <c r="E75" s="228"/>
      <c r="F75" s="229"/>
      <c r="G75" s="229"/>
      <c r="H75" s="229"/>
      <c r="I75" s="229"/>
      <c r="J75" s="229"/>
      <c r="K75" s="180"/>
      <c r="L75" s="180"/>
      <c r="M75" s="229"/>
      <c r="N75" s="180"/>
      <c r="O75" s="229"/>
      <c r="P75" s="236"/>
      <c r="Q75" s="138"/>
      <c r="R75" s="138"/>
      <c r="S75" s="138"/>
      <c r="T75" s="138"/>
      <c r="U75" s="138"/>
      <c r="V75" s="138"/>
      <c r="W75" s="138"/>
      <c r="X75" s="138"/>
    </row>
    <row r="76" spans="1:34" x14ac:dyDescent="0.15">
      <c r="A76" s="138"/>
      <c r="B76" s="235"/>
      <c r="C76" s="180"/>
      <c r="D76" s="180"/>
      <c r="E76" s="225" t="s">
        <v>361</v>
      </c>
      <c r="F76" s="231">
        <f>IF(F42="NO", "", IFERROR(F71/F74, ""))</f>
        <v>898.40414959964778</v>
      </c>
      <c r="G76" s="231"/>
      <c r="H76" s="231"/>
      <c r="I76" s="231"/>
      <c r="J76" s="231"/>
      <c r="K76" s="180"/>
      <c r="L76" s="180"/>
      <c r="M76" s="231" t="str">
        <f>IF(M42="NO", "", IFERROR(M71/M74, ""))</f>
        <v/>
      </c>
      <c r="N76" s="180"/>
      <c r="O76" s="231" t="str">
        <f>IF(O42="NO", "", IFERROR(O71/O74, ""))</f>
        <v/>
      </c>
      <c r="P76" s="236"/>
      <c r="Q76" s="138"/>
      <c r="R76" s="138"/>
      <c r="S76" s="138"/>
      <c r="T76" s="138"/>
      <c r="U76" s="138"/>
      <c r="V76" s="138"/>
      <c r="W76" s="138"/>
      <c r="X76" s="138"/>
    </row>
    <row r="77" spans="1:34" ht="5.5" customHeight="1" x14ac:dyDescent="0.15">
      <c r="A77" s="138"/>
      <c r="B77" s="235"/>
      <c r="C77" s="180"/>
      <c r="D77" s="180"/>
      <c r="E77" s="228"/>
      <c r="F77" s="180"/>
      <c r="G77" s="180"/>
      <c r="H77" s="180"/>
      <c r="I77" s="180"/>
      <c r="J77" s="180"/>
      <c r="K77" s="180"/>
      <c r="L77" s="180"/>
      <c r="M77" s="180"/>
      <c r="N77" s="180"/>
      <c r="O77" s="180"/>
      <c r="P77" s="236"/>
      <c r="Q77" s="138"/>
      <c r="R77" s="138"/>
      <c r="S77" s="138"/>
      <c r="T77" s="138"/>
      <c r="U77" s="138"/>
      <c r="V77" s="138"/>
      <c r="W77" s="138"/>
      <c r="X77" s="138"/>
    </row>
    <row r="78" spans="1:34" x14ac:dyDescent="0.15">
      <c r="A78" s="138"/>
      <c r="B78" s="235"/>
      <c r="C78" s="180"/>
      <c r="D78" s="180"/>
      <c r="E78" s="225" t="s">
        <v>362</v>
      </c>
      <c r="F78" s="230">
        <f>IF(F42="NO", "", IFERROR(ASSUMPTIONS!C131*CALCULATION!H230, ""))</f>
        <v>24.733677142707972</v>
      </c>
      <c r="G78" s="231"/>
      <c r="H78" s="231"/>
      <c r="I78" s="231"/>
      <c r="J78" s="231"/>
      <c r="K78" s="180"/>
      <c r="L78" s="180"/>
      <c r="M78" s="230" t="str">
        <f>IF(M42="NO", "", IFERROR(ASSUMPTIONS!$C$131*CALCULATION!H256, ""))</f>
        <v/>
      </c>
      <c r="N78" s="180"/>
      <c r="O78" s="230" t="str">
        <f>IF(O42="NO", "", IFERROR(ASSUMPTIONS!$C$131*CALCULATION!H324, ""))</f>
        <v/>
      </c>
      <c r="P78" s="236"/>
      <c r="Q78" s="138"/>
      <c r="R78" s="138"/>
      <c r="S78" s="138"/>
      <c r="T78" s="138"/>
      <c r="U78" s="138"/>
      <c r="V78" s="138"/>
      <c r="W78" s="138"/>
      <c r="X78" s="138"/>
      <c r="Y78" s="138"/>
      <c r="Z78" s="138"/>
      <c r="AA78" s="138"/>
      <c r="AB78" s="138"/>
      <c r="AC78" s="138"/>
      <c r="AD78" s="138"/>
      <c r="AE78" s="138"/>
      <c r="AF78" s="138"/>
      <c r="AG78" s="138"/>
      <c r="AH78" s="138"/>
    </row>
    <row r="79" spans="1:34" ht="6" customHeight="1" x14ac:dyDescent="0.15">
      <c r="A79" s="138"/>
      <c r="B79" s="235"/>
      <c r="C79" s="180"/>
      <c r="D79" s="180"/>
      <c r="E79" s="228"/>
      <c r="F79" s="180"/>
      <c r="G79" s="180"/>
      <c r="H79" s="180"/>
      <c r="I79" s="180"/>
      <c r="J79" s="180"/>
      <c r="K79" s="180"/>
      <c r="L79" s="180"/>
      <c r="M79" s="180"/>
      <c r="N79" s="180"/>
      <c r="O79" s="180"/>
      <c r="P79" s="236"/>
      <c r="Q79" s="138"/>
      <c r="R79" s="138"/>
      <c r="S79" s="138"/>
      <c r="T79" s="138"/>
      <c r="U79" s="138"/>
      <c r="V79" s="138"/>
      <c r="W79" s="138"/>
      <c r="X79" s="138"/>
      <c r="Y79" s="138"/>
      <c r="Z79" s="138"/>
      <c r="AA79" s="138"/>
      <c r="AB79" s="138"/>
      <c r="AC79" s="138"/>
      <c r="AD79" s="138"/>
      <c r="AE79" s="138"/>
      <c r="AF79" s="138"/>
      <c r="AG79" s="138"/>
      <c r="AH79" s="138"/>
    </row>
    <row r="80" spans="1:34" x14ac:dyDescent="0.15">
      <c r="A80" s="138"/>
      <c r="B80" s="235"/>
      <c r="C80" s="180"/>
      <c r="D80" s="180"/>
      <c r="E80" s="225" t="s">
        <v>363</v>
      </c>
      <c r="F80" s="231">
        <f>IF(F42="NO", "", IFERROR(F71/F78, ""))</f>
        <v>248.90104003592617</v>
      </c>
      <c r="G80" s="231"/>
      <c r="H80" s="231"/>
      <c r="I80" s="231"/>
      <c r="J80" s="231"/>
      <c r="K80" s="180"/>
      <c r="L80" s="180"/>
      <c r="M80" s="231" t="str">
        <f>IF(M42="NO", "", IFERROR(M71/M78, ""))</f>
        <v/>
      </c>
      <c r="N80" s="180"/>
      <c r="O80" s="231" t="str">
        <f>IF(O42="NO", "", IFERROR(O71/O78, ""))</f>
        <v/>
      </c>
      <c r="P80" s="236"/>
      <c r="Q80" s="138"/>
      <c r="R80" s="138"/>
      <c r="S80" s="138"/>
      <c r="T80" s="138"/>
      <c r="U80" s="138"/>
      <c r="V80" s="138"/>
      <c r="W80" s="138"/>
      <c r="X80" s="138"/>
      <c r="Y80" s="138"/>
      <c r="Z80" s="138"/>
      <c r="AA80" s="138"/>
      <c r="AB80" s="138"/>
      <c r="AC80" s="138"/>
      <c r="AD80" s="138"/>
      <c r="AE80" s="138"/>
      <c r="AF80" s="138"/>
      <c r="AG80" s="138"/>
      <c r="AH80" s="138"/>
    </row>
    <row r="81" spans="1:34" ht="5.5" customHeight="1" x14ac:dyDescent="0.15">
      <c r="A81" s="138"/>
      <c r="B81" s="235"/>
      <c r="C81" s="180"/>
      <c r="D81" s="180"/>
      <c r="E81" s="228"/>
      <c r="F81" s="180"/>
      <c r="G81" s="180"/>
      <c r="H81" s="180"/>
      <c r="I81" s="180"/>
      <c r="J81" s="180"/>
      <c r="K81" s="180"/>
      <c r="L81" s="180"/>
      <c r="M81" s="180"/>
      <c r="N81" s="180"/>
      <c r="O81" s="180"/>
      <c r="P81" s="236"/>
      <c r="Q81" s="138"/>
      <c r="R81" s="138"/>
      <c r="S81" s="138"/>
      <c r="T81" s="138"/>
      <c r="U81" s="138"/>
      <c r="V81" s="138"/>
      <c r="W81" s="138"/>
      <c r="X81" s="138"/>
      <c r="Y81" s="138"/>
      <c r="Z81" s="138"/>
      <c r="AA81" s="138"/>
      <c r="AB81" s="138"/>
      <c r="AC81" s="138"/>
      <c r="AD81" s="138"/>
      <c r="AE81" s="138"/>
      <c r="AF81" s="138"/>
      <c r="AG81" s="138"/>
      <c r="AH81" s="138"/>
    </row>
    <row r="82" spans="1:34" x14ac:dyDescent="0.15">
      <c r="A82" s="138"/>
      <c r="B82" s="235"/>
      <c r="C82" s="180"/>
      <c r="D82" s="180"/>
      <c r="E82" s="225" t="s">
        <v>364</v>
      </c>
      <c r="F82" s="230">
        <f>IF(F42="NO", "", IFERROR(F78*ASSUMPTIONS!C132, ""))</f>
        <v>28.715799162683957</v>
      </c>
      <c r="G82" s="231"/>
      <c r="H82" s="231"/>
      <c r="I82" s="231"/>
      <c r="J82" s="231"/>
      <c r="K82" s="180"/>
      <c r="L82" s="180"/>
      <c r="M82" s="230" t="str">
        <f>IF(M42="NO", "", IFERROR(M78*ASSUMPTIONS!$C$132, ""))</f>
        <v/>
      </c>
      <c r="N82" s="180"/>
      <c r="O82" s="230" t="str">
        <f>IF(O42="NO", "", IFERROR(O78*ASSUMPTIONS!$C$132, ""))</f>
        <v/>
      </c>
      <c r="P82" s="236"/>
      <c r="Q82" s="138"/>
      <c r="R82" s="138"/>
      <c r="S82" s="138"/>
      <c r="T82" s="138"/>
      <c r="U82" s="138"/>
      <c r="V82" s="138"/>
      <c r="W82" s="138"/>
      <c r="X82" s="138"/>
      <c r="Y82" s="138"/>
      <c r="Z82" s="138"/>
      <c r="AA82" s="138"/>
      <c r="AB82" s="138"/>
      <c r="AC82" s="138"/>
      <c r="AD82" s="138"/>
      <c r="AE82" s="138"/>
      <c r="AF82" s="138"/>
      <c r="AG82" s="138"/>
      <c r="AH82" s="138"/>
    </row>
    <row r="83" spans="1:34" ht="4.5" customHeight="1" x14ac:dyDescent="0.15">
      <c r="A83" s="138"/>
      <c r="B83" s="235"/>
      <c r="C83" s="180"/>
      <c r="D83" s="180"/>
      <c r="E83" s="228"/>
      <c r="F83" s="180"/>
      <c r="G83" s="180"/>
      <c r="H83" s="180"/>
      <c r="I83" s="180"/>
      <c r="J83" s="180"/>
      <c r="K83" s="180"/>
      <c r="L83" s="180"/>
      <c r="M83" s="180"/>
      <c r="N83" s="180"/>
      <c r="O83" s="180"/>
      <c r="P83" s="236"/>
      <c r="Q83" s="138"/>
      <c r="R83" s="138"/>
      <c r="S83" s="138"/>
      <c r="T83" s="138"/>
      <c r="U83" s="138"/>
      <c r="V83" s="138"/>
      <c r="W83" s="138"/>
      <c r="X83" s="138"/>
      <c r="Y83" s="138"/>
      <c r="Z83" s="138"/>
      <c r="AA83" s="138"/>
      <c r="AB83" s="138"/>
      <c r="AC83" s="138"/>
      <c r="AD83" s="138"/>
      <c r="AE83" s="138"/>
      <c r="AF83" s="138"/>
      <c r="AG83" s="138"/>
      <c r="AH83" s="138"/>
    </row>
    <row r="84" spans="1:34" x14ac:dyDescent="0.15">
      <c r="A84" s="138"/>
      <c r="B84" s="235"/>
      <c r="C84" s="180"/>
      <c r="D84" s="180"/>
      <c r="E84" s="225" t="s">
        <v>365</v>
      </c>
      <c r="F84" s="231">
        <f>IF(F42="NO", "", IFERROR(F71/F82, ""))</f>
        <v>214.38504740389848</v>
      </c>
      <c r="G84" s="231"/>
      <c r="H84" s="231"/>
      <c r="I84" s="231"/>
      <c r="J84" s="231"/>
      <c r="K84" s="180"/>
      <c r="L84" s="180"/>
      <c r="M84" s="231" t="str">
        <f>IF(M42="NO", "", IFERROR(M71/M82, ""))</f>
        <v/>
      </c>
      <c r="N84" s="180"/>
      <c r="O84" s="231" t="str">
        <f>IF(O42="NO", "", IFERROR(O71/O82, ""))</f>
        <v/>
      </c>
      <c r="P84" s="236"/>
      <c r="Q84" s="138"/>
      <c r="R84" s="138"/>
      <c r="S84" s="138"/>
      <c r="T84" s="138"/>
      <c r="U84" s="138"/>
      <c r="V84" s="138"/>
      <c r="W84" s="138"/>
      <c r="X84" s="138"/>
      <c r="Y84" s="138"/>
      <c r="Z84" s="138"/>
      <c r="AA84" s="138"/>
      <c r="AB84" s="138"/>
      <c r="AC84" s="138"/>
      <c r="AD84" s="138"/>
      <c r="AE84" s="138"/>
      <c r="AF84" s="138"/>
      <c r="AG84" s="138"/>
      <c r="AH84" s="138"/>
    </row>
    <row r="85" spans="1:34" ht="4.5" customHeight="1" x14ac:dyDescent="0.15">
      <c r="A85" s="138"/>
      <c r="B85" s="235"/>
      <c r="C85" s="180"/>
      <c r="D85" s="180"/>
      <c r="E85" s="180"/>
      <c r="F85" s="180"/>
      <c r="G85" s="180"/>
      <c r="H85" s="180"/>
      <c r="I85" s="180"/>
      <c r="J85" s="180"/>
      <c r="K85" s="180"/>
      <c r="L85" s="180"/>
      <c r="M85" s="180"/>
      <c r="N85" s="180"/>
      <c r="O85" s="180"/>
      <c r="P85" s="236"/>
      <c r="Q85" s="138"/>
      <c r="R85" s="138"/>
      <c r="S85" s="138"/>
      <c r="T85" s="138"/>
      <c r="U85" s="138"/>
      <c r="V85" s="138"/>
      <c r="W85" s="138"/>
      <c r="X85" s="138"/>
      <c r="Y85" s="138"/>
      <c r="Z85" s="138"/>
      <c r="AA85" s="138"/>
      <c r="AB85" s="138"/>
      <c r="AC85" s="138"/>
      <c r="AD85" s="138"/>
      <c r="AE85" s="138"/>
      <c r="AF85" s="138"/>
      <c r="AG85" s="138"/>
      <c r="AH85" s="138"/>
    </row>
    <row r="86" spans="1:34" x14ac:dyDescent="0.15">
      <c r="A86" s="138"/>
      <c r="B86" s="237"/>
      <c r="C86" s="238"/>
      <c r="D86" s="238"/>
      <c r="E86" s="238"/>
      <c r="F86" s="238"/>
      <c r="G86" s="238"/>
      <c r="H86" s="238"/>
      <c r="I86" s="238"/>
      <c r="J86" s="238"/>
      <c r="K86" s="238"/>
      <c r="L86" s="238"/>
      <c r="M86" s="238"/>
      <c r="N86" s="238"/>
      <c r="O86" s="238"/>
      <c r="P86" s="239"/>
      <c r="Q86" s="138"/>
      <c r="R86" s="138"/>
      <c r="S86" s="138"/>
      <c r="T86" s="138"/>
      <c r="U86" s="138"/>
      <c r="V86" s="138"/>
      <c r="W86" s="138"/>
      <c r="X86" s="138"/>
      <c r="Y86" s="138"/>
      <c r="Z86" s="138"/>
      <c r="AA86" s="138"/>
      <c r="AB86" s="138"/>
      <c r="AC86" s="138"/>
      <c r="AD86" s="138"/>
      <c r="AE86" s="138"/>
      <c r="AF86" s="138"/>
      <c r="AG86" s="138"/>
      <c r="AH86" s="138"/>
    </row>
    <row r="87" spans="1:34" x14ac:dyDescent="0.15">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row>
    <row r="88" spans="1:34" x14ac:dyDescent="0.15">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row>
    <row r="89" spans="1:34" x14ac:dyDescent="0.15">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row>
    <row r="90" spans="1:34" x14ac:dyDescent="0.15">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row>
    <row r="91" spans="1:34" x14ac:dyDescent="0.15">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row>
    <row r="92" spans="1:34" x14ac:dyDescent="0.15">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row>
    <row r="93" spans="1:34" x14ac:dyDescent="0.15">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row>
    <row r="94" spans="1:34" x14ac:dyDescent="0.15">
      <c r="A94" s="138"/>
      <c r="B94" s="138"/>
      <c r="C94" s="138"/>
      <c r="D94" s="138"/>
      <c r="E94" s="138"/>
      <c r="F94" s="138"/>
      <c r="G94" s="138"/>
      <c r="H94" s="138"/>
      <c r="I94" s="138"/>
      <c r="J94" s="138"/>
      <c r="K94" s="138"/>
      <c r="L94" s="138"/>
      <c r="M94" s="138"/>
      <c r="N94" s="138"/>
      <c r="O94" s="138"/>
      <c r="P94" s="138"/>
      <c r="Q94" s="138"/>
    </row>
    <row r="95" spans="1:34" x14ac:dyDescent="0.15">
      <c r="A95" s="138"/>
      <c r="B95" s="138"/>
      <c r="C95" s="138"/>
      <c r="D95" s="138"/>
      <c r="E95" s="138"/>
      <c r="F95" s="138"/>
      <c r="G95" s="138"/>
      <c r="H95" s="138"/>
      <c r="I95" s="138"/>
      <c r="J95" s="138"/>
      <c r="K95" s="138"/>
      <c r="L95" s="138"/>
      <c r="M95" s="138"/>
      <c r="N95" s="138"/>
      <c r="O95" s="138"/>
      <c r="P95" s="138"/>
      <c r="Q95" s="138"/>
    </row>
    <row r="96" spans="1:34" x14ac:dyDescent="0.15">
      <c r="A96" s="138"/>
      <c r="B96" s="138"/>
      <c r="C96" s="138"/>
      <c r="D96" s="138"/>
      <c r="E96" s="138"/>
      <c r="F96" s="138"/>
      <c r="G96" s="138"/>
      <c r="H96" s="138"/>
      <c r="I96" s="138"/>
      <c r="J96" s="138"/>
      <c r="K96" s="138"/>
      <c r="L96" s="138"/>
      <c r="M96" s="138"/>
      <c r="N96" s="138"/>
      <c r="O96" s="138"/>
      <c r="P96" s="138"/>
      <c r="Q96" s="138"/>
    </row>
    <row r="97" spans="1:17" x14ac:dyDescent="0.15">
      <c r="A97" s="138"/>
      <c r="B97" s="138"/>
      <c r="C97" s="138"/>
      <c r="D97" s="138"/>
      <c r="E97" s="138"/>
      <c r="F97" s="138"/>
      <c r="G97" s="138"/>
      <c r="H97" s="138"/>
      <c r="I97" s="138"/>
      <c r="J97" s="138"/>
      <c r="K97" s="138"/>
      <c r="L97" s="138"/>
      <c r="M97" s="138"/>
      <c r="N97" s="138"/>
      <c r="O97" s="138"/>
      <c r="P97" s="138"/>
      <c r="Q97" s="138"/>
    </row>
    <row r="98" spans="1:17" x14ac:dyDescent="0.15">
      <c r="A98" s="138"/>
      <c r="B98" s="138"/>
      <c r="C98" s="138"/>
      <c r="D98" s="138"/>
      <c r="E98" s="138"/>
      <c r="F98" s="138"/>
      <c r="G98" s="138"/>
      <c r="H98" s="138"/>
      <c r="I98" s="138"/>
      <c r="J98" s="138"/>
      <c r="K98" s="138"/>
      <c r="L98" s="138"/>
      <c r="M98" s="138"/>
      <c r="N98" s="138"/>
      <c r="O98" s="138"/>
      <c r="P98" s="138"/>
      <c r="Q98" s="138"/>
    </row>
    <row r="99" spans="1:17" x14ac:dyDescent="0.15">
      <c r="A99" s="138"/>
      <c r="B99" s="138"/>
      <c r="C99" s="138"/>
      <c r="D99" s="138"/>
      <c r="E99" s="138"/>
      <c r="F99" s="138"/>
      <c r="G99" s="138"/>
      <c r="H99" s="138"/>
      <c r="I99" s="138"/>
      <c r="J99" s="138"/>
      <c r="K99" s="138"/>
      <c r="L99" s="138"/>
      <c r="M99" s="138"/>
      <c r="N99" s="138"/>
      <c r="O99" s="138"/>
      <c r="P99" s="138"/>
      <c r="Q99" s="138"/>
    </row>
    <row r="100" spans="1:17" x14ac:dyDescent="0.15">
      <c r="A100" s="138"/>
      <c r="B100" s="138"/>
      <c r="C100" s="138"/>
      <c r="D100" s="138"/>
      <c r="E100" s="138"/>
      <c r="F100" s="138"/>
      <c r="G100" s="138"/>
      <c r="H100" s="138"/>
      <c r="I100" s="138"/>
      <c r="J100" s="138"/>
      <c r="K100" s="138"/>
      <c r="L100" s="138"/>
      <c r="M100" s="138"/>
      <c r="N100" s="138"/>
      <c r="O100" s="138"/>
      <c r="P100" s="138"/>
      <c r="Q100" s="138"/>
    </row>
    <row r="101" spans="1:17" x14ac:dyDescent="0.15">
      <c r="A101" s="138"/>
      <c r="B101" s="138"/>
      <c r="C101" s="138"/>
      <c r="D101" s="138"/>
      <c r="E101" s="138"/>
      <c r="F101" s="138"/>
      <c r="G101" s="138"/>
      <c r="H101" s="138"/>
      <c r="I101" s="138"/>
      <c r="J101" s="138"/>
      <c r="K101" s="138"/>
      <c r="L101" s="138"/>
      <c r="M101" s="138"/>
      <c r="N101" s="138"/>
      <c r="O101" s="138"/>
      <c r="P101" s="138"/>
      <c r="Q101" s="138"/>
    </row>
    <row r="102" spans="1:17" x14ac:dyDescent="0.15">
      <c r="A102" s="138"/>
      <c r="B102" s="138"/>
      <c r="C102" s="138"/>
      <c r="D102" s="138"/>
      <c r="E102" s="138"/>
      <c r="F102" s="138"/>
      <c r="G102" s="138"/>
      <c r="H102" s="138"/>
      <c r="I102" s="138"/>
      <c r="J102" s="138"/>
      <c r="K102" s="138"/>
      <c r="L102" s="138"/>
      <c r="M102" s="138"/>
      <c r="N102" s="138"/>
      <c r="O102" s="138"/>
      <c r="P102" s="138"/>
      <c r="Q102" s="138"/>
    </row>
    <row r="103" spans="1:17" x14ac:dyDescent="0.15">
      <c r="A103" s="138"/>
      <c r="B103" s="138"/>
      <c r="C103" s="138"/>
      <c r="D103" s="138"/>
      <c r="E103" s="138"/>
      <c r="F103" s="138"/>
      <c r="G103" s="138"/>
      <c r="H103" s="138"/>
      <c r="I103" s="138"/>
      <c r="J103" s="138"/>
      <c r="K103" s="138"/>
      <c r="L103" s="138"/>
      <c r="M103" s="138"/>
      <c r="N103" s="138"/>
      <c r="O103" s="138"/>
      <c r="P103" s="138"/>
      <c r="Q103" s="138"/>
    </row>
    <row r="104" spans="1:17" x14ac:dyDescent="0.15">
      <c r="A104" s="138"/>
      <c r="B104" s="138"/>
      <c r="C104" s="138"/>
      <c r="D104" s="138"/>
      <c r="E104" s="138"/>
      <c r="F104" s="138"/>
      <c r="G104" s="138"/>
      <c r="H104" s="138"/>
      <c r="I104" s="138"/>
      <c r="J104" s="138"/>
      <c r="K104" s="138"/>
      <c r="L104" s="138"/>
      <c r="M104" s="138"/>
      <c r="N104" s="138"/>
      <c r="O104" s="138"/>
      <c r="P104" s="138"/>
      <c r="Q104" s="138"/>
    </row>
    <row r="105" spans="1:17" x14ac:dyDescent="0.15">
      <c r="A105" s="138"/>
      <c r="B105" s="138"/>
      <c r="C105" s="138"/>
      <c r="D105" s="138"/>
      <c r="E105" s="138"/>
      <c r="F105" s="138"/>
      <c r="G105" s="138"/>
      <c r="H105" s="138"/>
      <c r="I105" s="138"/>
      <c r="J105" s="138"/>
      <c r="K105" s="138"/>
      <c r="L105" s="138"/>
      <c r="M105" s="138"/>
      <c r="N105" s="138"/>
      <c r="O105" s="138"/>
      <c r="P105" s="138"/>
      <c r="Q105" s="138"/>
    </row>
    <row r="106" spans="1:17" x14ac:dyDescent="0.15">
      <c r="A106" s="138"/>
      <c r="B106" s="138"/>
      <c r="C106" s="138"/>
      <c r="D106" s="138"/>
      <c r="E106" s="138"/>
      <c r="F106" s="138"/>
      <c r="G106" s="138"/>
      <c r="H106" s="138"/>
      <c r="I106" s="138"/>
      <c r="J106" s="138"/>
      <c r="K106" s="138"/>
      <c r="L106" s="138"/>
      <c r="M106" s="138"/>
      <c r="N106" s="138"/>
      <c r="O106" s="138"/>
      <c r="P106" s="138"/>
      <c r="Q106" s="138"/>
    </row>
    <row r="107" spans="1:17" x14ac:dyDescent="0.15">
      <c r="A107" s="138"/>
      <c r="B107" s="138"/>
      <c r="C107" s="138"/>
      <c r="D107" s="138"/>
      <c r="E107" s="138"/>
      <c r="F107" s="138"/>
      <c r="G107" s="138"/>
      <c r="H107" s="138"/>
      <c r="I107" s="138"/>
      <c r="J107" s="138"/>
      <c r="K107" s="138"/>
      <c r="L107" s="138"/>
      <c r="M107" s="138"/>
      <c r="N107" s="138"/>
      <c r="O107" s="138"/>
      <c r="P107" s="138"/>
      <c r="Q107" s="138"/>
    </row>
    <row r="108" spans="1:17" x14ac:dyDescent="0.15">
      <c r="A108" s="138"/>
      <c r="B108" s="138"/>
      <c r="C108" s="138"/>
      <c r="D108" s="138"/>
      <c r="E108" s="138"/>
      <c r="F108" s="138"/>
      <c r="G108" s="138"/>
      <c r="H108" s="138"/>
      <c r="I108" s="138"/>
      <c r="J108" s="138"/>
      <c r="K108" s="138"/>
      <c r="L108" s="138"/>
      <c r="M108" s="138"/>
      <c r="N108" s="138"/>
      <c r="O108" s="138"/>
      <c r="P108" s="138"/>
      <c r="Q108" s="138"/>
    </row>
    <row r="109" spans="1:17" x14ac:dyDescent="0.15">
      <c r="F109" s="138"/>
      <c r="G109" s="138"/>
      <c r="H109" s="138"/>
      <c r="I109" s="138"/>
      <c r="J109" s="138"/>
      <c r="K109" s="138"/>
      <c r="L109" s="138"/>
      <c r="M109" s="138"/>
      <c r="N109" s="138"/>
      <c r="O109" s="138"/>
      <c r="P109" s="138"/>
      <c r="Q109" s="138"/>
    </row>
    <row r="110" spans="1:17" x14ac:dyDescent="0.15">
      <c r="F110" s="138"/>
      <c r="G110" s="138"/>
      <c r="H110" s="138"/>
      <c r="I110" s="138"/>
      <c r="J110" s="138"/>
      <c r="K110" s="138"/>
      <c r="L110" s="138"/>
      <c r="M110" s="138"/>
      <c r="N110" s="138"/>
      <c r="O110" s="138"/>
      <c r="P110" s="138"/>
      <c r="Q110" s="138"/>
    </row>
    <row r="111" spans="1:17" x14ac:dyDescent="0.15">
      <c r="F111" s="138"/>
      <c r="G111" s="138"/>
      <c r="H111" s="138"/>
      <c r="I111" s="138"/>
      <c r="J111" s="138"/>
      <c r="K111" s="138"/>
      <c r="L111" s="138"/>
      <c r="M111" s="138"/>
      <c r="N111" s="138"/>
      <c r="O111" s="138"/>
      <c r="P111" s="138"/>
      <c r="Q111" s="138"/>
    </row>
    <row r="112" spans="1:17" x14ac:dyDescent="0.15">
      <c r="F112" s="138"/>
      <c r="G112" s="138"/>
      <c r="H112" s="138"/>
      <c r="I112" s="138"/>
      <c r="J112" s="138"/>
      <c r="K112" s="138"/>
      <c r="L112" s="138"/>
      <c r="M112" s="138"/>
      <c r="N112" s="138"/>
      <c r="O112" s="138"/>
      <c r="P112" s="138"/>
      <c r="Q112" s="138"/>
    </row>
    <row r="113" spans="6:17" x14ac:dyDescent="0.15">
      <c r="F113" s="138"/>
      <c r="G113" s="138"/>
      <c r="H113" s="138"/>
      <c r="I113" s="138"/>
      <c r="J113" s="138"/>
      <c r="K113" s="138"/>
      <c r="L113" s="138"/>
      <c r="M113" s="138"/>
      <c r="N113" s="138"/>
      <c r="O113" s="138"/>
      <c r="P113" s="138"/>
      <c r="Q113" s="138"/>
    </row>
    <row r="114" spans="6:17" x14ac:dyDescent="0.15">
      <c r="F114" s="138"/>
      <c r="G114" s="138"/>
      <c r="H114" s="138"/>
      <c r="I114" s="138"/>
      <c r="J114" s="138"/>
      <c r="K114" s="138"/>
      <c r="L114" s="138"/>
      <c r="M114" s="138"/>
      <c r="N114" s="138"/>
      <c r="O114" s="138"/>
      <c r="P114" s="138"/>
      <c r="Q114" s="138"/>
    </row>
    <row r="115" spans="6:17" x14ac:dyDescent="0.15">
      <c r="F115" s="138"/>
      <c r="G115" s="138"/>
      <c r="H115" s="138"/>
      <c r="I115" s="138"/>
      <c r="J115" s="138"/>
      <c r="K115" s="138"/>
      <c r="L115" s="138"/>
      <c r="M115" s="138"/>
      <c r="N115" s="138"/>
      <c r="O115" s="138"/>
      <c r="P115" s="138"/>
      <c r="Q115" s="138"/>
    </row>
    <row r="116" spans="6:17" x14ac:dyDescent="0.15">
      <c r="F116" s="138"/>
      <c r="G116" s="138"/>
      <c r="H116" s="138"/>
      <c r="I116" s="138"/>
      <c r="J116" s="138"/>
      <c r="K116" s="138"/>
      <c r="L116" s="138"/>
      <c r="M116" s="138"/>
      <c r="N116" s="138"/>
      <c r="O116" s="138"/>
      <c r="P116" s="138"/>
      <c r="Q116" s="138"/>
    </row>
    <row r="117" spans="6:17" x14ac:dyDescent="0.15">
      <c r="F117" s="138"/>
      <c r="G117" s="138"/>
      <c r="H117" s="138"/>
      <c r="I117" s="138"/>
      <c r="J117" s="138"/>
      <c r="K117" s="138"/>
      <c r="L117" s="138"/>
      <c r="M117" s="138"/>
      <c r="N117" s="138"/>
      <c r="O117" s="138"/>
      <c r="P117" s="138"/>
      <c r="Q117" s="138"/>
    </row>
    <row r="118" spans="6:17" x14ac:dyDescent="0.15">
      <c r="F118" s="138"/>
      <c r="G118" s="138"/>
      <c r="H118" s="138"/>
      <c r="I118" s="138"/>
      <c r="J118" s="138"/>
      <c r="K118" s="138"/>
      <c r="L118" s="138"/>
      <c r="M118" s="138"/>
      <c r="N118" s="138"/>
      <c r="O118" s="138"/>
      <c r="P118" s="138"/>
      <c r="Q118" s="138"/>
    </row>
    <row r="119" spans="6:17" x14ac:dyDescent="0.15">
      <c r="F119" s="138"/>
      <c r="G119" s="138"/>
      <c r="H119" s="138"/>
      <c r="I119" s="138"/>
      <c r="J119" s="138"/>
      <c r="K119" s="138"/>
      <c r="L119" s="138"/>
      <c r="M119" s="138"/>
      <c r="N119" s="138"/>
      <c r="O119" s="138"/>
      <c r="P119" s="138"/>
      <c r="Q119" s="138"/>
    </row>
    <row r="120" spans="6:17" x14ac:dyDescent="0.15">
      <c r="F120" s="138"/>
      <c r="G120" s="138"/>
      <c r="H120" s="138"/>
      <c r="I120" s="138"/>
      <c r="J120" s="138"/>
      <c r="K120" s="138"/>
      <c r="L120" s="138"/>
      <c r="M120" s="138"/>
      <c r="N120" s="138"/>
      <c r="O120" s="138"/>
      <c r="P120" s="138"/>
      <c r="Q120" s="138"/>
    </row>
    <row r="121" spans="6:17" x14ac:dyDescent="0.15">
      <c r="F121" s="138"/>
      <c r="G121" s="138"/>
      <c r="H121" s="138"/>
      <c r="I121" s="138"/>
      <c r="J121" s="138"/>
      <c r="K121" s="138"/>
      <c r="L121" s="138"/>
      <c r="M121" s="138"/>
      <c r="N121" s="138"/>
      <c r="O121" s="138"/>
      <c r="P121" s="138"/>
      <c r="Q121" s="138"/>
    </row>
    <row r="122" spans="6:17" x14ac:dyDescent="0.15">
      <c r="F122" s="138"/>
      <c r="G122" s="138"/>
      <c r="H122" s="138"/>
      <c r="I122" s="138"/>
      <c r="J122" s="138"/>
      <c r="K122" s="138"/>
      <c r="L122" s="138"/>
      <c r="M122" s="138"/>
      <c r="N122" s="138"/>
      <c r="O122" s="138"/>
      <c r="P122" s="138"/>
      <c r="Q122" s="138"/>
    </row>
    <row r="123" spans="6:17" x14ac:dyDescent="0.15">
      <c r="F123" s="138"/>
      <c r="G123" s="138"/>
      <c r="H123" s="138"/>
      <c r="I123" s="138"/>
      <c r="J123" s="138"/>
      <c r="K123" s="138"/>
      <c r="L123" s="138"/>
      <c r="M123" s="138"/>
      <c r="N123" s="138"/>
      <c r="O123" s="138"/>
      <c r="P123" s="138"/>
      <c r="Q123" s="138"/>
    </row>
    <row r="124" spans="6:17" x14ac:dyDescent="0.15">
      <c r="F124" s="138"/>
      <c r="G124" s="138"/>
      <c r="H124" s="138"/>
      <c r="I124" s="138"/>
      <c r="J124" s="138"/>
      <c r="K124" s="138"/>
      <c r="L124" s="138"/>
      <c r="M124" s="138"/>
      <c r="N124" s="138"/>
      <c r="O124" s="138"/>
      <c r="P124" s="138"/>
      <c r="Q124" s="138"/>
    </row>
    <row r="125" spans="6:17" x14ac:dyDescent="0.15">
      <c r="F125" s="138"/>
      <c r="G125" s="138"/>
      <c r="H125" s="138"/>
      <c r="I125" s="138"/>
      <c r="J125" s="138"/>
      <c r="K125" s="138"/>
      <c r="L125" s="138"/>
      <c r="M125" s="138"/>
      <c r="N125" s="138"/>
      <c r="O125" s="138"/>
      <c r="P125" s="138"/>
      <c r="Q125" s="138"/>
    </row>
    <row r="126" spans="6:17" x14ac:dyDescent="0.15">
      <c r="F126" s="138"/>
      <c r="G126" s="138"/>
      <c r="H126" s="138"/>
      <c r="I126" s="138"/>
      <c r="J126" s="138"/>
      <c r="K126" s="138"/>
      <c r="L126" s="138"/>
      <c r="M126" s="138"/>
      <c r="N126" s="138"/>
      <c r="O126" s="138"/>
      <c r="P126" s="138"/>
      <c r="Q126" s="138"/>
    </row>
    <row r="127" spans="6:17" x14ac:dyDescent="0.15">
      <c r="F127" s="138"/>
      <c r="G127" s="138"/>
      <c r="H127" s="138"/>
      <c r="I127" s="138"/>
      <c r="J127" s="138"/>
      <c r="K127" s="138"/>
      <c r="L127" s="138"/>
      <c r="M127" s="138"/>
      <c r="N127" s="138"/>
      <c r="O127" s="138"/>
      <c r="P127" s="138"/>
      <c r="Q127" s="138"/>
    </row>
    <row r="128" spans="6:17" x14ac:dyDescent="0.15">
      <c r="F128" s="138"/>
      <c r="G128" s="138"/>
      <c r="H128" s="138"/>
      <c r="I128" s="138"/>
      <c r="J128" s="138"/>
      <c r="K128" s="138"/>
      <c r="L128" s="138"/>
      <c r="M128" s="138"/>
      <c r="N128" s="138"/>
      <c r="O128" s="138"/>
      <c r="P128" s="138"/>
      <c r="Q128" s="138"/>
    </row>
    <row r="129" spans="6:17" x14ac:dyDescent="0.15">
      <c r="F129" s="138"/>
      <c r="G129" s="138"/>
      <c r="H129" s="138"/>
      <c r="I129" s="138"/>
      <c r="J129" s="138"/>
      <c r="K129" s="138"/>
      <c r="L129" s="138"/>
      <c r="M129" s="138"/>
      <c r="N129" s="138"/>
      <c r="O129" s="138"/>
      <c r="P129" s="138"/>
      <c r="Q129" s="138"/>
    </row>
    <row r="130" spans="6:17" x14ac:dyDescent="0.15">
      <c r="F130" s="138"/>
      <c r="G130" s="138"/>
      <c r="H130" s="138"/>
      <c r="I130" s="138"/>
      <c r="J130" s="138"/>
      <c r="K130" s="138"/>
      <c r="L130" s="138"/>
      <c r="M130" s="138"/>
      <c r="N130" s="138"/>
      <c r="O130" s="138"/>
      <c r="P130" s="138"/>
      <c r="Q130" s="138"/>
    </row>
    <row r="131" spans="6:17" x14ac:dyDescent="0.15">
      <c r="F131" s="138"/>
      <c r="G131" s="138"/>
      <c r="H131" s="138"/>
      <c r="I131" s="138"/>
      <c r="J131" s="138"/>
      <c r="K131" s="138"/>
      <c r="L131" s="138"/>
      <c r="M131" s="138"/>
      <c r="N131" s="138"/>
      <c r="O131" s="138"/>
      <c r="P131" s="138"/>
      <c r="Q131" s="138"/>
    </row>
    <row r="132" spans="6:17" x14ac:dyDescent="0.15">
      <c r="F132" s="138"/>
      <c r="G132" s="138"/>
      <c r="H132" s="138"/>
      <c r="I132" s="138"/>
      <c r="J132" s="138"/>
      <c r="K132" s="138"/>
      <c r="L132" s="138"/>
      <c r="M132" s="138"/>
      <c r="N132" s="138"/>
      <c r="O132" s="138"/>
      <c r="P132" s="138"/>
      <c r="Q132" s="138"/>
    </row>
    <row r="133" spans="6:17" x14ac:dyDescent="0.15">
      <c r="F133" s="138"/>
      <c r="G133" s="138"/>
      <c r="H133" s="138"/>
      <c r="I133" s="138"/>
      <c r="J133" s="138"/>
      <c r="K133" s="138"/>
      <c r="L133" s="138"/>
      <c r="M133" s="138"/>
      <c r="N133" s="138"/>
      <c r="O133" s="138"/>
      <c r="P133" s="138"/>
      <c r="Q133" s="138"/>
    </row>
    <row r="134" spans="6:17" x14ac:dyDescent="0.15">
      <c r="F134" s="138"/>
      <c r="G134" s="138"/>
      <c r="H134" s="138"/>
      <c r="I134" s="138"/>
      <c r="J134" s="138"/>
      <c r="K134" s="138"/>
      <c r="L134" s="138"/>
      <c r="M134" s="138"/>
      <c r="N134" s="138"/>
      <c r="O134" s="138"/>
      <c r="P134" s="138"/>
      <c r="Q134" s="138"/>
    </row>
    <row r="135" spans="6:17" x14ac:dyDescent="0.15">
      <c r="F135" s="138"/>
      <c r="G135" s="138"/>
      <c r="H135" s="138"/>
      <c r="I135" s="138"/>
      <c r="J135" s="138"/>
      <c r="K135" s="138"/>
      <c r="L135" s="138"/>
      <c r="M135" s="138"/>
      <c r="N135" s="138"/>
      <c r="O135" s="138"/>
      <c r="P135" s="138"/>
      <c r="Q135" s="138"/>
    </row>
    <row r="136" spans="6:17" x14ac:dyDescent="0.15">
      <c r="F136" s="138"/>
      <c r="G136" s="138"/>
      <c r="H136" s="138"/>
      <c r="I136" s="138"/>
      <c r="J136" s="138"/>
      <c r="K136" s="138"/>
      <c r="L136" s="138"/>
      <c r="M136" s="138"/>
      <c r="N136" s="138"/>
      <c r="O136" s="138"/>
      <c r="P136" s="138"/>
      <c r="Q136" s="138"/>
    </row>
    <row r="137" spans="6:17" x14ac:dyDescent="0.15">
      <c r="F137" s="138"/>
      <c r="G137" s="138"/>
      <c r="H137" s="138"/>
      <c r="I137" s="138"/>
      <c r="J137" s="138"/>
      <c r="K137" s="138"/>
      <c r="L137" s="138"/>
      <c r="M137" s="138"/>
      <c r="N137" s="138"/>
      <c r="O137" s="138"/>
      <c r="P137" s="138"/>
      <c r="Q137" s="138"/>
    </row>
    <row r="138" spans="6:17" x14ac:dyDescent="0.15">
      <c r="F138" s="138"/>
      <c r="G138" s="138"/>
      <c r="H138" s="138"/>
      <c r="I138" s="138"/>
      <c r="J138" s="138"/>
      <c r="K138" s="138"/>
      <c r="L138" s="138"/>
      <c r="M138" s="138"/>
      <c r="N138" s="138"/>
      <c r="O138" s="138"/>
      <c r="P138" s="138"/>
      <c r="Q138" s="138"/>
    </row>
    <row r="139" spans="6:17" x14ac:dyDescent="0.15">
      <c r="F139" s="138"/>
      <c r="G139" s="138"/>
      <c r="H139" s="138"/>
      <c r="I139" s="138"/>
      <c r="J139" s="138"/>
      <c r="K139" s="138"/>
      <c r="L139" s="138"/>
      <c r="M139" s="138"/>
      <c r="N139" s="138"/>
      <c r="O139" s="138"/>
      <c r="P139" s="138"/>
      <c r="Q139" s="138"/>
    </row>
    <row r="140" spans="6:17" x14ac:dyDescent="0.15">
      <c r="F140" s="138"/>
      <c r="G140" s="138"/>
      <c r="H140" s="138"/>
      <c r="I140" s="138"/>
      <c r="J140" s="138"/>
      <c r="K140" s="138"/>
      <c r="L140" s="138"/>
      <c r="M140" s="138"/>
      <c r="N140" s="138"/>
      <c r="O140" s="138"/>
      <c r="P140" s="138"/>
      <c r="Q140" s="138"/>
    </row>
    <row r="141" spans="6:17" x14ac:dyDescent="0.15">
      <c r="F141" s="138"/>
      <c r="G141" s="138"/>
      <c r="H141" s="138"/>
      <c r="I141" s="138"/>
      <c r="J141" s="138"/>
      <c r="K141" s="138"/>
      <c r="L141" s="138"/>
      <c r="M141" s="138"/>
      <c r="N141" s="138"/>
      <c r="O141" s="138"/>
      <c r="P141" s="138"/>
      <c r="Q141" s="138"/>
    </row>
    <row r="142" spans="6:17" x14ac:dyDescent="0.15">
      <c r="F142" s="138"/>
      <c r="G142" s="138"/>
      <c r="H142" s="138"/>
      <c r="I142" s="138"/>
      <c r="J142" s="138"/>
      <c r="K142" s="138"/>
      <c r="L142" s="138"/>
      <c r="M142" s="138"/>
      <c r="N142" s="138"/>
      <c r="O142" s="138"/>
      <c r="P142" s="138"/>
      <c r="Q142" s="138"/>
    </row>
    <row r="143" spans="6:17" x14ac:dyDescent="0.15">
      <c r="F143" s="138"/>
      <c r="G143" s="138"/>
      <c r="H143" s="138"/>
      <c r="I143" s="138"/>
      <c r="J143" s="138"/>
      <c r="K143" s="138"/>
      <c r="L143" s="138"/>
      <c r="M143" s="138"/>
      <c r="N143" s="138"/>
      <c r="O143" s="138"/>
      <c r="P143" s="138"/>
      <c r="Q143" s="138"/>
    </row>
    <row r="144" spans="6:17" x14ac:dyDescent="0.15">
      <c r="F144" s="138"/>
      <c r="G144" s="138"/>
      <c r="H144" s="138"/>
      <c r="I144" s="138"/>
      <c r="J144" s="138"/>
      <c r="K144" s="138"/>
      <c r="L144" s="138"/>
      <c r="M144" s="138"/>
      <c r="N144" s="138"/>
      <c r="O144" s="138"/>
      <c r="P144" s="138"/>
      <c r="Q144" s="138"/>
    </row>
    <row r="145" spans="6:17" x14ac:dyDescent="0.15">
      <c r="F145" s="138"/>
      <c r="G145" s="138"/>
      <c r="H145" s="138"/>
      <c r="I145" s="138"/>
      <c r="J145" s="138"/>
      <c r="K145" s="138"/>
      <c r="L145" s="138"/>
      <c r="M145" s="138"/>
      <c r="N145" s="138"/>
      <c r="O145" s="138"/>
      <c r="P145" s="138"/>
      <c r="Q145" s="138"/>
    </row>
    <row r="146" spans="6:17" x14ac:dyDescent="0.15">
      <c r="F146" s="138"/>
      <c r="G146" s="138"/>
      <c r="H146" s="138"/>
      <c r="I146" s="138"/>
      <c r="J146" s="138"/>
      <c r="K146" s="138"/>
      <c r="L146" s="138"/>
      <c r="M146" s="138"/>
      <c r="N146" s="138"/>
      <c r="O146" s="138"/>
      <c r="P146" s="138"/>
      <c r="Q146" s="138"/>
    </row>
    <row r="147" spans="6:17" x14ac:dyDescent="0.15">
      <c r="F147" s="138"/>
      <c r="G147" s="138"/>
      <c r="H147" s="138"/>
      <c r="I147" s="138"/>
      <c r="J147" s="138"/>
      <c r="K147" s="138"/>
      <c r="L147" s="138"/>
      <c r="M147" s="138"/>
      <c r="N147" s="138"/>
      <c r="O147" s="138"/>
      <c r="P147" s="138"/>
      <c r="Q147" s="138"/>
    </row>
    <row r="148" spans="6:17" x14ac:dyDescent="0.15">
      <c r="F148" s="138"/>
      <c r="G148" s="138"/>
      <c r="H148" s="138"/>
      <c r="I148" s="138"/>
      <c r="J148" s="138"/>
      <c r="K148" s="138"/>
      <c r="L148" s="138"/>
      <c r="M148" s="138"/>
      <c r="N148" s="138"/>
      <c r="O148" s="138"/>
      <c r="P148" s="138"/>
      <c r="Q148" s="138"/>
    </row>
    <row r="149" spans="6:17" x14ac:dyDescent="0.15">
      <c r="F149" s="138"/>
      <c r="G149" s="138"/>
      <c r="H149" s="138"/>
      <c r="I149" s="138"/>
      <c r="J149" s="138"/>
      <c r="K149" s="138"/>
      <c r="L149" s="138"/>
      <c r="M149" s="138"/>
      <c r="N149" s="138"/>
      <c r="O149" s="138"/>
      <c r="P149" s="138"/>
      <c r="Q149" s="138"/>
    </row>
    <row r="150" spans="6:17" x14ac:dyDescent="0.15">
      <c r="F150" s="138"/>
      <c r="G150" s="138"/>
      <c r="H150" s="138"/>
      <c r="I150" s="138"/>
      <c r="J150" s="138"/>
      <c r="K150" s="138"/>
      <c r="L150" s="138"/>
      <c r="M150" s="138"/>
      <c r="N150" s="138"/>
      <c r="O150" s="138"/>
      <c r="P150" s="138"/>
      <c r="Q150" s="138"/>
    </row>
    <row r="151" spans="6:17" x14ac:dyDescent="0.15">
      <c r="F151" s="138"/>
      <c r="G151" s="138"/>
      <c r="H151" s="138"/>
      <c r="I151" s="138"/>
      <c r="J151" s="138"/>
      <c r="K151" s="138"/>
      <c r="L151" s="138"/>
      <c r="M151" s="138"/>
      <c r="N151" s="138"/>
      <c r="O151" s="138"/>
      <c r="P151" s="138"/>
      <c r="Q151" s="138"/>
    </row>
    <row r="152" spans="6:17" x14ac:dyDescent="0.15">
      <c r="F152" s="138"/>
      <c r="G152" s="138"/>
      <c r="H152" s="138"/>
      <c r="I152" s="138"/>
      <c r="J152" s="138"/>
      <c r="K152" s="138"/>
      <c r="L152" s="138"/>
      <c r="M152" s="138"/>
      <c r="N152" s="138"/>
      <c r="O152" s="138"/>
      <c r="P152" s="138"/>
      <c r="Q152" s="138"/>
    </row>
    <row r="153" spans="6:17" x14ac:dyDescent="0.15">
      <c r="F153" s="138"/>
      <c r="G153" s="138"/>
      <c r="H153" s="138"/>
      <c r="I153" s="138"/>
      <c r="J153" s="138"/>
      <c r="K153" s="138"/>
      <c r="L153" s="138"/>
      <c r="M153" s="138"/>
      <c r="N153" s="138"/>
      <c r="O153" s="138"/>
      <c r="P153" s="138"/>
      <c r="Q153" s="138"/>
    </row>
    <row r="154" spans="6:17" x14ac:dyDescent="0.15">
      <c r="F154" s="138"/>
      <c r="G154" s="138"/>
      <c r="H154" s="138"/>
      <c r="I154" s="138"/>
      <c r="J154" s="138"/>
      <c r="K154" s="138"/>
      <c r="L154" s="138"/>
      <c r="M154" s="138"/>
      <c r="N154" s="138"/>
      <c r="O154" s="138"/>
      <c r="P154" s="138"/>
      <c r="Q154" s="138"/>
    </row>
    <row r="155" spans="6:17" x14ac:dyDescent="0.15">
      <c r="F155" s="138"/>
      <c r="G155" s="138"/>
      <c r="H155" s="138"/>
      <c r="I155" s="138"/>
      <c r="J155" s="138"/>
      <c r="K155" s="138"/>
      <c r="L155" s="138"/>
      <c r="M155" s="138"/>
      <c r="N155" s="138"/>
      <c r="O155" s="138"/>
      <c r="P155" s="138"/>
      <c r="Q155" s="138"/>
    </row>
    <row r="156" spans="6:17" x14ac:dyDescent="0.15">
      <c r="F156" s="138"/>
      <c r="G156" s="138"/>
      <c r="H156" s="138"/>
      <c r="I156" s="138"/>
      <c r="J156" s="138"/>
      <c r="K156" s="138"/>
      <c r="L156" s="138"/>
      <c r="M156" s="138"/>
      <c r="N156" s="138"/>
      <c r="O156" s="138"/>
      <c r="P156" s="138"/>
      <c r="Q156" s="138"/>
    </row>
    <row r="157" spans="6:17" x14ac:dyDescent="0.15">
      <c r="F157" s="138"/>
      <c r="G157" s="138"/>
      <c r="H157" s="138"/>
      <c r="I157" s="138"/>
      <c r="J157" s="138"/>
      <c r="K157" s="138"/>
      <c r="L157" s="138"/>
      <c r="M157" s="138"/>
      <c r="N157" s="138"/>
      <c r="O157" s="138"/>
      <c r="P157" s="138"/>
      <c r="Q157" s="138"/>
    </row>
    <row r="158" spans="6:17" x14ac:dyDescent="0.15">
      <c r="F158" s="138"/>
      <c r="G158" s="138"/>
      <c r="H158" s="138"/>
      <c r="I158" s="138"/>
      <c r="J158" s="138"/>
      <c r="K158" s="138"/>
      <c r="L158" s="138"/>
      <c r="M158" s="138"/>
      <c r="N158" s="138"/>
      <c r="O158" s="138"/>
      <c r="P158" s="138"/>
      <c r="Q158" s="138"/>
    </row>
    <row r="159" spans="6:17" x14ac:dyDescent="0.15">
      <c r="F159" s="138"/>
      <c r="G159" s="138"/>
      <c r="H159" s="138"/>
      <c r="I159" s="138"/>
      <c r="J159" s="138"/>
      <c r="K159" s="138"/>
      <c r="L159" s="138"/>
      <c r="M159" s="138"/>
      <c r="N159" s="138"/>
      <c r="O159" s="138"/>
      <c r="P159" s="138"/>
      <c r="Q159" s="138"/>
    </row>
    <row r="160" spans="6:17" x14ac:dyDescent="0.15">
      <c r="F160" s="138"/>
      <c r="G160" s="138"/>
      <c r="H160" s="138"/>
      <c r="I160" s="138"/>
      <c r="J160" s="138"/>
      <c r="K160" s="138"/>
      <c r="L160" s="138"/>
      <c r="M160" s="138"/>
      <c r="N160" s="138"/>
      <c r="O160" s="138"/>
      <c r="P160" s="138"/>
      <c r="Q160" s="138"/>
    </row>
    <row r="161" spans="6:17" x14ac:dyDescent="0.15">
      <c r="F161" s="138"/>
      <c r="G161" s="138"/>
      <c r="H161" s="138"/>
      <c r="I161" s="138"/>
      <c r="J161" s="138"/>
      <c r="K161" s="138"/>
      <c r="L161" s="138"/>
      <c r="M161" s="138"/>
      <c r="N161" s="138"/>
      <c r="O161" s="138"/>
      <c r="P161" s="138"/>
      <c r="Q161" s="138"/>
    </row>
    <row r="162" spans="6:17" x14ac:dyDescent="0.15">
      <c r="F162" s="138"/>
      <c r="G162" s="138"/>
      <c r="H162" s="138"/>
      <c r="I162" s="138"/>
      <c r="J162" s="138"/>
      <c r="K162" s="138"/>
      <c r="L162" s="138"/>
      <c r="M162" s="138"/>
      <c r="N162" s="138"/>
      <c r="O162" s="138"/>
      <c r="P162" s="138"/>
      <c r="Q162" s="138"/>
    </row>
    <row r="163" spans="6:17" x14ac:dyDescent="0.15">
      <c r="F163" s="138"/>
      <c r="G163" s="138"/>
      <c r="H163" s="138"/>
      <c r="I163" s="138"/>
      <c r="J163" s="138"/>
      <c r="K163" s="138"/>
      <c r="L163" s="138"/>
      <c r="M163" s="138"/>
      <c r="N163" s="138"/>
      <c r="O163" s="138"/>
      <c r="P163" s="138"/>
      <c r="Q163" s="138"/>
    </row>
    <row r="164" spans="6:17" x14ac:dyDescent="0.15">
      <c r="F164" s="138"/>
      <c r="G164" s="138"/>
      <c r="H164" s="138"/>
      <c r="I164" s="138"/>
      <c r="J164" s="138"/>
      <c r="K164" s="138"/>
      <c r="L164" s="138"/>
      <c r="M164" s="138"/>
      <c r="N164" s="138"/>
      <c r="O164" s="138"/>
      <c r="P164" s="138"/>
      <c r="Q164" s="138"/>
    </row>
    <row r="165" spans="6:17" x14ac:dyDescent="0.15">
      <c r="F165" s="138"/>
      <c r="G165" s="138"/>
      <c r="H165" s="138"/>
      <c r="I165" s="138"/>
      <c r="J165" s="138"/>
      <c r="K165" s="138"/>
      <c r="L165" s="138"/>
      <c r="M165" s="138"/>
      <c r="N165" s="138"/>
      <c r="O165" s="138"/>
      <c r="P165" s="138"/>
      <c r="Q165" s="138"/>
    </row>
    <row r="166" spans="6:17" x14ac:dyDescent="0.15">
      <c r="F166" s="138"/>
      <c r="G166" s="138"/>
      <c r="H166" s="138"/>
      <c r="I166" s="138"/>
      <c r="J166" s="138"/>
      <c r="K166" s="138"/>
      <c r="L166" s="138"/>
      <c r="M166" s="138"/>
      <c r="N166" s="138"/>
      <c r="O166" s="138"/>
      <c r="P166" s="138"/>
      <c r="Q166" s="138"/>
    </row>
    <row r="167" spans="6:17" x14ac:dyDescent="0.15">
      <c r="F167" s="138"/>
      <c r="G167" s="138"/>
      <c r="H167" s="138"/>
      <c r="I167" s="138"/>
      <c r="J167" s="138"/>
      <c r="K167" s="138"/>
      <c r="L167" s="138"/>
      <c r="M167" s="138"/>
      <c r="N167" s="138"/>
      <c r="O167" s="138"/>
      <c r="P167" s="138"/>
      <c r="Q167" s="138"/>
    </row>
    <row r="168" spans="6:17" x14ac:dyDescent="0.15">
      <c r="F168" s="138"/>
      <c r="G168" s="138"/>
      <c r="H168" s="138"/>
      <c r="I168" s="138"/>
      <c r="J168" s="138"/>
      <c r="K168" s="138"/>
      <c r="L168" s="138"/>
      <c r="M168" s="138"/>
      <c r="N168" s="138"/>
      <c r="O168" s="138"/>
      <c r="P168" s="138"/>
      <c r="Q168" s="138"/>
    </row>
    <row r="169" spans="6:17" x14ac:dyDescent="0.15">
      <c r="F169" s="138"/>
      <c r="G169" s="138"/>
      <c r="H169" s="138"/>
      <c r="I169" s="138"/>
      <c r="J169" s="138"/>
      <c r="K169" s="138"/>
      <c r="L169" s="138"/>
      <c r="M169" s="138"/>
      <c r="N169" s="138"/>
      <c r="O169" s="138"/>
      <c r="P169" s="138"/>
      <c r="Q169" s="138"/>
    </row>
    <row r="170" spans="6:17" x14ac:dyDescent="0.15">
      <c r="F170" s="138"/>
      <c r="G170" s="138"/>
      <c r="H170" s="138"/>
      <c r="I170" s="138"/>
      <c r="J170" s="138"/>
      <c r="K170" s="138"/>
      <c r="L170" s="138"/>
      <c r="M170" s="138"/>
      <c r="N170" s="138"/>
      <c r="O170" s="138"/>
      <c r="P170" s="138"/>
      <c r="Q170" s="138"/>
    </row>
    <row r="171" spans="6:17" x14ac:dyDescent="0.15">
      <c r="F171" s="138"/>
      <c r="G171" s="138"/>
      <c r="H171" s="138"/>
      <c r="I171" s="138"/>
      <c r="J171" s="138"/>
      <c r="K171" s="138"/>
      <c r="L171" s="138"/>
      <c r="M171" s="138"/>
      <c r="N171" s="138"/>
      <c r="O171" s="138"/>
      <c r="P171" s="138"/>
      <c r="Q171" s="138"/>
    </row>
    <row r="172" spans="6:17" x14ac:dyDescent="0.15">
      <c r="F172" s="138"/>
      <c r="G172" s="138"/>
      <c r="H172" s="138"/>
      <c r="I172" s="138"/>
      <c r="J172" s="138"/>
      <c r="K172" s="138"/>
      <c r="L172" s="138"/>
      <c r="M172" s="138"/>
      <c r="N172" s="138"/>
      <c r="O172" s="138"/>
      <c r="P172" s="138"/>
      <c r="Q172" s="138"/>
    </row>
    <row r="173" spans="6:17" x14ac:dyDescent="0.15">
      <c r="F173" s="138"/>
      <c r="G173" s="138"/>
      <c r="H173" s="138"/>
      <c r="I173" s="138"/>
      <c r="J173" s="138"/>
      <c r="K173" s="138"/>
      <c r="L173" s="138"/>
      <c r="M173" s="138"/>
      <c r="N173" s="138"/>
      <c r="O173" s="138"/>
      <c r="P173" s="138"/>
      <c r="Q173" s="138"/>
    </row>
    <row r="174" spans="6:17" x14ac:dyDescent="0.15">
      <c r="F174" s="138"/>
      <c r="G174" s="138"/>
      <c r="H174" s="138"/>
      <c r="I174" s="138"/>
      <c r="J174" s="138"/>
      <c r="K174" s="138"/>
      <c r="L174" s="138"/>
      <c r="M174" s="138"/>
      <c r="N174" s="138"/>
      <c r="O174" s="138"/>
      <c r="P174" s="138"/>
      <c r="Q174" s="138"/>
    </row>
    <row r="175" spans="6:17" x14ac:dyDescent="0.15">
      <c r="F175" s="138"/>
      <c r="G175" s="138"/>
      <c r="H175" s="138"/>
      <c r="I175" s="138"/>
      <c r="J175" s="138"/>
      <c r="K175" s="138"/>
      <c r="L175" s="138"/>
      <c r="M175" s="138"/>
      <c r="N175" s="138"/>
      <c r="O175" s="138"/>
      <c r="P175" s="138"/>
      <c r="Q175" s="138"/>
    </row>
    <row r="176" spans="6:17" x14ac:dyDescent="0.15">
      <c r="F176" s="138"/>
      <c r="G176" s="138"/>
      <c r="H176" s="138"/>
      <c r="I176" s="138"/>
      <c r="J176" s="138"/>
      <c r="K176" s="138"/>
      <c r="L176" s="138"/>
      <c r="M176" s="138"/>
      <c r="N176" s="138"/>
      <c r="O176" s="138"/>
      <c r="P176" s="138"/>
      <c r="Q176" s="138"/>
    </row>
    <row r="177" spans="6:17" x14ac:dyDescent="0.15">
      <c r="F177" s="138"/>
      <c r="G177" s="138"/>
      <c r="H177" s="138"/>
      <c r="I177" s="138"/>
      <c r="J177" s="138"/>
      <c r="K177" s="138"/>
      <c r="L177" s="138"/>
      <c r="M177" s="138"/>
      <c r="N177" s="138"/>
      <c r="O177" s="138"/>
      <c r="P177" s="138"/>
      <c r="Q177" s="138"/>
    </row>
    <row r="178" spans="6:17" x14ac:dyDescent="0.15">
      <c r="F178" s="138"/>
      <c r="G178" s="138"/>
      <c r="H178" s="138"/>
      <c r="I178" s="138"/>
      <c r="J178" s="138"/>
      <c r="K178" s="138"/>
      <c r="L178" s="138"/>
      <c r="M178" s="138"/>
      <c r="N178" s="138"/>
      <c r="O178" s="138"/>
      <c r="P178" s="138"/>
      <c r="Q178" s="138"/>
    </row>
    <row r="179" spans="6:17" x14ac:dyDescent="0.15">
      <c r="F179" s="138"/>
      <c r="G179" s="138"/>
      <c r="H179" s="138"/>
      <c r="I179" s="138"/>
      <c r="J179" s="138"/>
      <c r="K179" s="138"/>
      <c r="L179" s="138"/>
      <c r="M179" s="138"/>
      <c r="N179" s="138"/>
      <c r="O179" s="138"/>
      <c r="P179" s="138"/>
      <c r="Q179" s="138"/>
    </row>
    <row r="180" spans="6:17" x14ac:dyDescent="0.15">
      <c r="F180" s="138"/>
      <c r="G180" s="138"/>
      <c r="H180" s="138"/>
      <c r="I180" s="138"/>
      <c r="J180" s="138"/>
      <c r="K180" s="138"/>
      <c r="L180" s="138"/>
      <c r="M180" s="138"/>
      <c r="N180" s="138"/>
      <c r="O180" s="138"/>
      <c r="P180" s="138"/>
      <c r="Q180" s="138"/>
    </row>
    <row r="181" spans="6:17" x14ac:dyDescent="0.15">
      <c r="F181" s="138"/>
      <c r="G181" s="138"/>
      <c r="H181" s="138"/>
      <c r="I181" s="138"/>
      <c r="J181" s="138"/>
      <c r="K181" s="138"/>
      <c r="L181" s="138"/>
      <c r="M181" s="138"/>
      <c r="N181" s="138"/>
      <c r="O181" s="138"/>
      <c r="P181" s="138"/>
      <c r="Q181" s="138"/>
    </row>
    <row r="182" spans="6:17" x14ac:dyDescent="0.15">
      <c r="F182" s="138"/>
      <c r="G182" s="138"/>
      <c r="H182" s="138"/>
      <c r="I182" s="138"/>
      <c r="J182" s="138"/>
      <c r="K182" s="138"/>
      <c r="L182" s="138"/>
      <c r="M182" s="138"/>
      <c r="N182" s="138"/>
      <c r="O182" s="138"/>
      <c r="P182" s="138"/>
      <c r="Q182" s="138"/>
    </row>
    <row r="183" spans="6:17" x14ac:dyDescent="0.15">
      <c r="F183" s="138"/>
      <c r="G183" s="138"/>
      <c r="H183" s="138"/>
      <c r="I183" s="138"/>
      <c r="J183" s="138"/>
      <c r="K183" s="138"/>
      <c r="L183" s="138"/>
      <c r="M183" s="138"/>
      <c r="N183" s="138"/>
      <c r="O183" s="138"/>
      <c r="P183" s="138"/>
      <c r="Q183" s="138"/>
    </row>
    <row r="184" spans="6:17" x14ac:dyDescent="0.15">
      <c r="F184" s="138"/>
      <c r="G184" s="138"/>
      <c r="H184" s="138"/>
      <c r="I184" s="138"/>
      <c r="J184" s="138"/>
      <c r="K184" s="138"/>
      <c r="L184" s="138"/>
      <c r="M184" s="138"/>
      <c r="N184" s="138"/>
      <c r="O184" s="138"/>
      <c r="P184" s="138"/>
      <c r="Q184" s="138"/>
    </row>
    <row r="185" spans="6:17" x14ac:dyDescent="0.15">
      <c r="F185" s="138"/>
      <c r="G185" s="138"/>
      <c r="H185" s="138"/>
      <c r="I185" s="138"/>
      <c r="J185" s="138"/>
      <c r="K185" s="138"/>
      <c r="L185" s="138"/>
      <c r="M185" s="138"/>
      <c r="N185" s="138"/>
      <c r="O185" s="138"/>
      <c r="P185" s="138"/>
      <c r="Q185" s="138"/>
    </row>
    <row r="186" spans="6:17" x14ac:dyDescent="0.15">
      <c r="F186" s="138"/>
      <c r="G186" s="138"/>
      <c r="H186" s="138"/>
      <c r="I186" s="138"/>
      <c r="J186" s="138"/>
      <c r="K186" s="138"/>
      <c r="L186" s="138"/>
      <c r="M186" s="138"/>
      <c r="N186" s="138"/>
      <c r="O186" s="138"/>
      <c r="P186" s="138"/>
      <c r="Q186" s="138"/>
    </row>
    <row r="187" spans="6:17" x14ac:dyDescent="0.15">
      <c r="F187" s="138"/>
      <c r="G187" s="138"/>
      <c r="H187" s="138"/>
      <c r="I187" s="138"/>
      <c r="J187" s="138"/>
      <c r="K187" s="138"/>
      <c r="L187" s="138"/>
      <c r="M187" s="138"/>
      <c r="N187" s="138"/>
      <c r="O187" s="138"/>
      <c r="P187" s="138"/>
      <c r="Q187" s="138"/>
    </row>
    <row r="188" spans="6:17" x14ac:dyDescent="0.15">
      <c r="F188" s="138"/>
      <c r="G188" s="138"/>
      <c r="H188" s="138"/>
      <c r="I188" s="138"/>
      <c r="J188" s="138"/>
      <c r="K188" s="138"/>
      <c r="L188" s="138"/>
      <c r="M188" s="138"/>
      <c r="N188" s="138"/>
      <c r="O188" s="138"/>
      <c r="P188" s="138"/>
      <c r="Q188" s="138"/>
    </row>
    <row r="189" spans="6:17" x14ac:dyDescent="0.15">
      <c r="F189" s="138"/>
      <c r="G189" s="138"/>
      <c r="H189" s="138"/>
      <c r="I189" s="138"/>
      <c r="J189" s="138"/>
      <c r="K189" s="138"/>
      <c r="L189" s="138"/>
      <c r="M189" s="138"/>
      <c r="N189" s="138"/>
      <c r="O189" s="138"/>
      <c r="P189" s="138"/>
      <c r="Q189" s="138"/>
    </row>
    <row r="190" spans="6:17" x14ac:dyDescent="0.15">
      <c r="F190" s="138"/>
      <c r="G190" s="138"/>
      <c r="H190" s="138"/>
      <c r="I190" s="138"/>
      <c r="J190" s="138"/>
      <c r="K190" s="138"/>
      <c r="L190" s="138"/>
      <c r="M190" s="138"/>
      <c r="N190" s="138"/>
      <c r="O190" s="138"/>
      <c r="P190" s="138"/>
      <c r="Q190" s="138"/>
    </row>
    <row r="191" spans="6:17" x14ac:dyDescent="0.15">
      <c r="F191" s="138"/>
      <c r="G191" s="138"/>
      <c r="H191" s="138"/>
      <c r="I191" s="138"/>
      <c r="J191" s="138"/>
      <c r="K191" s="138"/>
      <c r="L191" s="138"/>
      <c r="M191" s="138"/>
      <c r="N191" s="138"/>
      <c r="O191" s="138"/>
      <c r="P191" s="138"/>
      <c r="Q191" s="138"/>
    </row>
    <row r="192" spans="6:17" x14ac:dyDescent="0.15">
      <c r="F192" s="138"/>
      <c r="G192" s="138"/>
      <c r="H192" s="138"/>
      <c r="I192" s="138"/>
      <c r="J192" s="138"/>
      <c r="K192" s="138"/>
      <c r="L192" s="138"/>
      <c r="M192" s="138"/>
      <c r="N192" s="138"/>
      <c r="O192" s="138"/>
      <c r="P192" s="138"/>
      <c r="Q192" s="138"/>
    </row>
    <row r="193" spans="6:17" x14ac:dyDescent="0.15">
      <c r="F193" s="138"/>
      <c r="G193" s="138"/>
      <c r="H193" s="138"/>
      <c r="I193" s="138"/>
      <c r="J193" s="138"/>
      <c r="K193" s="138"/>
      <c r="L193" s="138"/>
      <c r="M193" s="138"/>
      <c r="N193" s="138"/>
      <c r="O193" s="138"/>
      <c r="P193" s="138"/>
      <c r="Q193" s="138"/>
    </row>
    <row r="194" spans="6:17" x14ac:dyDescent="0.15">
      <c r="F194" s="138"/>
      <c r="G194" s="138"/>
      <c r="H194" s="138"/>
      <c r="I194" s="138"/>
      <c r="J194" s="138"/>
      <c r="K194" s="138"/>
      <c r="L194" s="138"/>
      <c r="M194" s="138"/>
      <c r="N194" s="138"/>
      <c r="O194" s="138"/>
      <c r="P194" s="138"/>
      <c r="Q194" s="138"/>
    </row>
    <row r="195" spans="6:17" x14ac:dyDescent="0.15">
      <c r="F195" s="138"/>
      <c r="G195" s="138"/>
      <c r="H195" s="138"/>
      <c r="I195" s="138"/>
      <c r="J195" s="138"/>
      <c r="K195" s="138"/>
      <c r="L195" s="138"/>
      <c r="M195" s="138"/>
      <c r="N195" s="138"/>
      <c r="O195" s="138"/>
      <c r="P195" s="138"/>
      <c r="Q195" s="138"/>
    </row>
    <row r="196" spans="6:17" x14ac:dyDescent="0.15">
      <c r="F196" s="138"/>
      <c r="G196" s="138"/>
      <c r="H196" s="138"/>
      <c r="I196" s="138"/>
      <c r="J196" s="138"/>
      <c r="K196" s="138"/>
      <c r="L196" s="138"/>
      <c r="M196" s="138"/>
      <c r="N196" s="138"/>
      <c r="O196" s="138"/>
      <c r="P196" s="138"/>
      <c r="Q196" s="138"/>
    </row>
    <row r="197" spans="6:17" x14ac:dyDescent="0.15">
      <c r="F197" s="138"/>
      <c r="G197" s="138"/>
      <c r="H197" s="138"/>
      <c r="I197" s="138"/>
      <c r="J197" s="138"/>
      <c r="K197" s="138"/>
      <c r="L197" s="138"/>
      <c r="M197" s="138"/>
      <c r="N197" s="138"/>
      <c r="O197" s="138"/>
      <c r="P197" s="138"/>
      <c r="Q197" s="138"/>
    </row>
    <row r="198" spans="6:17" x14ac:dyDescent="0.15">
      <c r="F198" s="138"/>
      <c r="G198" s="138"/>
      <c r="H198" s="138"/>
      <c r="I198" s="138"/>
      <c r="J198" s="138"/>
      <c r="K198" s="138"/>
      <c r="L198" s="138"/>
      <c r="M198" s="138"/>
      <c r="N198" s="138"/>
      <c r="O198" s="138"/>
      <c r="P198" s="138"/>
      <c r="Q198" s="138"/>
    </row>
    <row r="199" spans="6:17" x14ac:dyDescent="0.15">
      <c r="F199" s="138"/>
      <c r="G199" s="138"/>
      <c r="H199" s="138"/>
      <c r="I199" s="138"/>
      <c r="J199" s="138"/>
      <c r="K199" s="138"/>
      <c r="L199" s="138"/>
      <c r="M199" s="138"/>
      <c r="N199" s="138"/>
      <c r="O199" s="138"/>
      <c r="P199" s="138"/>
      <c r="Q199" s="138"/>
    </row>
    <row r="200" spans="6:17" x14ac:dyDescent="0.15">
      <c r="F200" s="138"/>
      <c r="G200" s="138"/>
      <c r="H200" s="138"/>
      <c r="I200" s="138"/>
      <c r="J200" s="138"/>
      <c r="K200" s="138"/>
      <c r="L200" s="138"/>
      <c r="M200" s="138"/>
      <c r="N200" s="138"/>
      <c r="O200" s="138"/>
      <c r="P200" s="138"/>
      <c r="Q200" s="138"/>
    </row>
    <row r="201" spans="6:17" x14ac:dyDescent="0.15">
      <c r="F201" s="138"/>
      <c r="G201" s="138"/>
      <c r="H201" s="138"/>
      <c r="I201" s="138"/>
      <c r="J201" s="138"/>
      <c r="K201" s="138"/>
      <c r="L201" s="138"/>
      <c r="M201" s="138"/>
      <c r="N201" s="138"/>
      <c r="O201" s="138"/>
      <c r="P201" s="138"/>
      <c r="Q201" s="138"/>
    </row>
    <row r="202" spans="6:17" x14ac:dyDescent="0.15">
      <c r="F202" s="138"/>
      <c r="G202" s="138"/>
      <c r="H202" s="138"/>
      <c r="I202" s="138"/>
      <c r="J202" s="138"/>
      <c r="K202" s="138"/>
      <c r="L202" s="138"/>
      <c r="M202" s="138"/>
      <c r="N202" s="138"/>
      <c r="O202" s="138"/>
      <c r="P202" s="138"/>
      <c r="Q202" s="138"/>
    </row>
    <row r="203" spans="6:17" x14ac:dyDescent="0.15">
      <c r="F203" s="138"/>
      <c r="G203" s="138"/>
      <c r="H203" s="138"/>
      <c r="I203" s="138"/>
      <c r="J203" s="138"/>
      <c r="K203" s="138"/>
      <c r="L203" s="138"/>
      <c r="M203" s="138"/>
      <c r="N203" s="138"/>
      <c r="O203" s="138"/>
      <c r="P203" s="138"/>
      <c r="Q203" s="138"/>
    </row>
    <row r="204" spans="6:17" x14ac:dyDescent="0.15">
      <c r="F204" s="138"/>
      <c r="G204" s="138"/>
      <c r="H204" s="138"/>
      <c r="I204" s="138"/>
      <c r="J204" s="138"/>
      <c r="K204" s="138"/>
      <c r="L204" s="138"/>
      <c r="M204" s="138"/>
      <c r="N204" s="138"/>
      <c r="O204" s="138"/>
      <c r="P204" s="138"/>
      <c r="Q204" s="138"/>
    </row>
    <row r="205" spans="6:17" x14ac:dyDescent="0.15">
      <c r="F205" s="138"/>
      <c r="G205" s="138"/>
      <c r="H205" s="138"/>
      <c r="I205" s="138"/>
      <c r="J205" s="138"/>
      <c r="K205" s="138"/>
      <c r="L205" s="138"/>
      <c r="M205" s="138"/>
      <c r="N205" s="138"/>
      <c r="O205" s="138"/>
      <c r="P205" s="138"/>
      <c r="Q205" s="138"/>
    </row>
    <row r="206" spans="6:17" x14ac:dyDescent="0.15">
      <c r="F206" s="138"/>
      <c r="G206" s="138"/>
      <c r="H206" s="138"/>
      <c r="I206" s="138"/>
      <c r="J206" s="138"/>
      <c r="K206" s="138"/>
      <c r="L206" s="138"/>
      <c r="M206" s="138"/>
      <c r="N206" s="138"/>
      <c r="O206" s="138"/>
      <c r="P206" s="138"/>
      <c r="Q206" s="138"/>
    </row>
    <row r="207" spans="6:17" x14ac:dyDescent="0.15">
      <c r="F207" s="138"/>
      <c r="G207" s="138"/>
      <c r="H207" s="138"/>
      <c r="I207" s="138"/>
      <c r="J207" s="138"/>
      <c r="K207" s="138"/>
      <c r="L207" s="138"/>
      <c r="M207" s="138"/>
      <c r="N207" s="138"/>
      <c r="O207" s="138"/>
      <c r="P207" s="138"/>
      <c r="Q207" s="138"/>
    </row>
    <row r="208" spans="6:17" x14ac:dyDescent="0.15">
      <c r="F208" s="138"/>
      <c r="G208" s="138"/>
      <c r="H208" s="138"/>
      <c r="I208" s="138"/>
      <c r="J208" s="138"/>
      <c r="K208" s="138"/>
      <c r="L208" s="138"/>
      <c r="M208" s="138"/>
      <c r="N208" s="138"/>
      <c r="O208" s="138"/>
      <c r="P208" s="138"/>
      <c r="Q208" s="138"/>
    </row>
    <row r="209" spans="6:17" x14ac:dyDescent="0.15">
      <c r="F209" s="138"/>
      <c r="G209" s="138"/>
      <c r="H209" s="138"/>
      <c r="I209" s="138"/>
      <c r="J209" s="138"/>
      <c r="K209" s="138"/>
      <c r="L209" s="138"/>
      <c r="M209" s="138"/>
      <c r="N209" s="138"/>
      <c r="O209" s="138"/>
      <c r="P209" s="138"/>
      <c r="Q209" s="138"/>
    </row>
    <row r="210" spans="6:17" x14ac:dyDescent="0.15">
      <c r="F210" s="138"/>
      <c r="G210" s="138"/>
      <c r="H210" s="138"/>
      <c r="I210" s="138"/>
      <c r="J210" s="138"/>
      <c r="K210" s="138"/>
      <c r="L210" s="138"/>
      <c r="M210" s="138"/>
      <c r="N210" s="138"/>
      <c r="O210" s="138"/>
      <c r="P210" s="138"/>
      <c r="Q210" s="138"/>
    </row>
    <row r="211" spans="6:17" x14ac:dyDescent="0.15">
      <c r="F211" s="138"/>
      <c r="G211" s="138"/>
      <c r="H211" s="138"/>
      <c r="I211" s="138"/>
      <c r="J211" s="138"/>
      <c r="K211" s="138"/>
      <c r="L211" s="138"/>
      <c r="M211" s="138"/>
      <c r="N211" s="138"/>
      <c r="O211" s="138"/>
      <c r="P211" s="138"/>
      <c r="Q211" s="138"/>
    </row>
    <row r="212" spans="6:17" x14ac:dyDescent="0.15">
      <c r="F212" s="138"/>
      <c r="G212" s="138"/>
      <c r="H212" s="138"/>
      <c r="I212" s="138"/>
      <c r="J212" s="138"/>
      <c r="K212" s="138"/>
      <c r="L212" s="138"/>
      <c r="M212" s="138"/>
      <c r="N212" s="138"/>
      <c r="O212" s="138"/>
      <c r="P212" s="138"/>
      <c r="Q212" s="138"/>
    </row>
    <row r="213" spans="6:17" x14ac:dyDescent="0.15">
      <c r="F213" s="138"/>
      <c r="G213" s="138"/>
      <c r="H213" s="138"/>
      <c r="I213" s="138"/>
      <c r="J213" s="138"/>
      <c r="K213" s="138"/>
      <c r="L213" s="138"/>
      <c r="M213" s="138"/>
      <c r="N213" s="138"/>
      <c r="O213" s="138"/>
      <c r="P213" s="138"/>
      <c r="Q213" s="138"/>
    </row>
    <row r="214" spans="6:17" x14ac:dyDescent="0.15">
      <c r="F214" s="138"/>
      <c r="G214" s="138"/>
      <c r="H214" s="138"/>
      <c r="I214" s="138"/>
      <c r="J214" s="138"/>
      <c r="K214" s="138"/>
      <c r="L214" s="138"/>
      <c r="M214" s="138"/>
      <c r="N214" s="138"/>
      <c r="O214" s="138"/>
      <c r="P214" s="138"/>
      <c r="Q214" s="138"/>
    </row>
    <row r="215" spans="6:17" x14ac:dyDescent="0.15">
      <c r="F215" s="138"/>
      <c r="G215" s="138"/>
      <c r="H215" s="138"/>
      <c r="I215" s="138"/>
      <c r="J215" s="138"/>
      <c r="K215" s="138"/>
      <c r="L215" s="138"/>
      <c r="M215" s="138"/>
      <c r="N215" s="138"/>
      <c r="O215" s="138"/>
      <c r="P215" s="138"/>
      <c r="Q215" s="138"/>
    </row>
    <row r="216" spans="6:17" x14ac:dyDescent="0.15">
      <c r="F216" s="138"/>
      <c r="G216" s="138"/>
      <c r="H216" s="138"/>
      <c r="I216" s="138"/>
      <c r="J216" s="138"/>
      <c r="K216" s="138"/>
      <c r="L216" s="138"/>
      <c r="M216" s="138"/>
      <c r="N216" s="138"/>
      <c r="O216" s="138"/>
      <c r="P216" s="138"/>
      <c r="Q216" s="138"/>
    </row>
    <row r="217" spans="6:17" x14ac:dyDescent="0.15">
      <c r="F217" s="138"/>
      <c r="G217" s="138"/>
      <c r="H217" s="138"/>
      <c r="I217" s="138"/>
      <c r="J217" s="138"/>
      <c r="K217" s="138"/>
      <c r="L217" s="138"/>
      <c r="M217" s="138"/>
      <c r="N217" s="138"/>
      <c r="O217" s="138"/>
      <c r="P217" s="138"/>
      <c r="Q217" s="138"/>
    </row>
    <row r="218" spans="6:17" x14ac:dyDescent="0.15">
      <c r="F218" s="138"/>
      <c r="G218" s="138"/>
      <c r="H218" s="138"/>
      <c r="I218" s="138"/>
      <c r="J218" s="138"/>
      <c r="K218" s="138"/>
      <c r="L218" s="138"/>
      <c r="M218" s="138"/>
      <c r="N218" s="138"/>
      <c r="O218" s="138"/>
      <c r="P218" s="138"/>
      <c r="Q218" s="138"/>
    </row>
    <row r="219" spans="6:17" x14ac:dyDescent="0.15">
      <c r="F219" s="138"/>
      <c r="G219" s="138"/>
      <c r="H219" s="138"/>
      <c r="I219" s="138"/>
      <c r="J219" s="138"/>
      <c r="K219" s="138"/>
      <c r="L219" s="138"/>
      <c r="M219" s="138"/>
      <c r="N219" s="138"/>
      <c r="O219" s="138"/>
      <c r="P219" s="138"/>
      <c r="Q219" s="138"/>
    </row>
    <row r="220" spans="6:17" x14ac:dyDescent="0.15">
      <c r="F220" s="138"/>
      <c r="G220" s="138"/>
      <c r="H220" s="138"/>
      <c r="I220" s="138"/>
      <c r="J220" s="138"/>
      <c r="K220" s="138"/>
      <c r="L220" s="138"/>
      <c r="M220" s="138"/>
      <c r="N220" s="138"/>
      <c r="O220" s="138"/>
      <c r="P220" s="138"/>
      <c r="Q220" s="138"/>
    </row>
    <row r="221" spans="6:17" x14ac:dyDescent="0.15">
      <c r="F221" s="138"/>
      <c r="G221" s="138"/>
      <c r="H221" s="138"/>
      <c r="I221" s="138"/>
      <c r="J221" s="138"/>
      <c r="K221" s="138"/>
      <c r="L221" s="138"/>
      <c r="M221" s="138"/>
      <c r="N221" s="138"/>
      <c r="O221" s="138"/>
      <c r="P221" s="138"/>
      <c r="Q221" s="138"/>
    </row>
    <row r="222" spans="6:17" x14ac:dyDescent="0.15">
      <c r="F222" s="138"/>
      <c r="G222" s="138"/>
      <c r="H222" s="138"/>
      <c r="I222" s="138"/>
      <c r="J222" s="138"/>
      <c r="K222" s="138"/>
      <c r="L222" s="138"/>
      <c r="M222" s="138"/>
      <c r="N222" s="138"/>
      <c r="O222" s="138"/>
      <c r="P222" s="138"/>
      <c r="Q222" s="138"/>
    </row>
    <row r="223" spans="6:17" x14ac:dyDescent="0.15">
      <c r="P223" s="138"/>
      <c r="Q223" s="138"/>
    </row>
  </sheetData>
  <sheetProtection algorithmName="SHA-512" hashValue="QaLZZd8xZlQ4J47igS1oNm9MvecXD4bGdQwdvlN6VCML1FHgFiSUQHs8gLCKi8/kRH7SPg8wiFyKCHZdPYFd9Q==" saltValue="UqC3VpznvmRMKO5ta0zMIw==" spinCount="100000" sheet="1" objects="1" scenarios="1"/>
  <mergeCells count="1">
    <mergeCell ref="B7:P7"/>
  </mergeCells>
  <conditionalFormatting sqref="F46 F48 F58">
    <cfRule type="expression" dxfId="10" priority="27">
      <formula>IF($F$42="NO",TRUE,FALSE)</formula>
    </cfRule>
  </conditionalFormatting>
  <conditionalFormatting sqref="M44 M46 M48">
    <cfRule type="expression" dxfId="9" priority="26">
      <formula>IF($M$42="NO",TRUE,FALSE)</formula>
    </cfRule>
  </conditionalFormatting>
  <conditionalFormatting sqref="O44 O46 O48">
    <cfRule type="expression" dxfId="8" priority="15">
      <formula>IF($O$42="NO", TRUE, FALSE)</formula>
    </cfRule>
  </conditionalFormatting>
  <conditionalFormatting sqref="F55:J84">
    <cfRule type="expression" dxfId="7" priority="10">
      <formula>IF($F$42="NO", TRUE, FALSE)</formula>
    </cfRule>
  </conditionalFormatting>
  <conditionalFormatting sqref="M58">
    <cfRule type="expression" dxfId="6" priority="9">
      <formula>IF($F$42="NO",TRUE,FALSE)</formula>
    </cfRule>
  </conditionalFormatting>
  <conditionalFormatting sqref="M55:M84">
    <cfRule type="expression" dxfId="5" priority="5">
      <formula>IF($M$42="NO", TRUE, FALSE)</formula>
    </cfRule>
    <cfRule type="expression" dxfId="4" priority="8">
      <formula>"if($F$40=""NO"", TRUE, FALSE)"</formula>
    </cfRule>
  </conditionalFormatting>
  <conditionalFormatting sqref="O58">
    <cfRule type="expression" dxfId="3" priority="4">
      <formula>IF($F$42="NO",TRUE,FALSE)</formula>
    </cfRule>
  </conditionalFormatting>
  <conditionalFormatting sqref="O55:O84">
    <cfRule type="expression" dxfId="2" priority="2">
      <formula>IF($O$42="NO", TRUE, FALSE)</formula>
    </cfRule>
    <cfRule type="expression" dxfId="1" priority="3">
      <formula>"if($F$40=""NO"", TRUE, FALSE)"</formula>
    </cfRule>
  </conditionalFormatting>
  <conditionalFormatting sqref="E32:F32">
    <cfRule type="expression" dxfId="0" priority="1">
      <formula>IF($F$24="New Site", TRUE, FALSE)</formula>
    </cfRule>
  </conditionalFormatting>
  <dataValidations count="17">
    <dataValidation allowBlank="1" showInputMessage="1" showErrorMessage="1" prompt="Incremental CAPEX is the difference between the CAPEX of the zero emission technology and the CAPEX of the baseline scenario (i.e. pneumatic controllers). The baseline CAPEX is zero for retrofit cases. " sqref="E44" xr:uid="{C4F02546-C4F5-419B-A70E-75F3FED03793}"/>
    <dataValidation allowBlank="1" showInputMessage="1" showErrorMessage="1" prompt="Pneumatic controllers can be designed to release supply-gas continuously or intermittently. Intermittent-vent (equivalent to intermittent bleed in Continuous-bleed controllers in EPA documents) are designed to emit intermittently." sqref="E16" xr:uid="{0BA5B4A5-FEC5-4A6F-8F3B-4E3435C6F869}"/>
    <dataValidation allowBlank="1" showInputMessage="1" showErrorMessage="1" prompt="Pneumatic controllers can be designed to release supply-gas continuously or intermittently. Continuous-bleed controllers are designed to emit continuously." sqref="E14" xr:uid="{FE8BBBC4-60AE-4660-A031-64642C61B445}"/>
    <dataValidation type="decimal" allowBlank="1" showInputMessage="1" showErrorMessage="1" errorTitle="Value out of range" error="Please input a value between 1000 and 3000 USD/tCH4." prompt="Please input a value between 1000 and 3000 USD/tCH4." sqref="O20" xr:uid="{BDD07F3B-0371-41DA-B438-E5CAF903BF34}">
      <formula1>1000</formula1>
      <formula2>3000</formula2>
    </dataValidation>
    <dataValidation type="decimal" allowBlank="1" showInputMessage="1" showErrorMessage="1" errorTitle="Value out of range" error="Please input a value between 5 and 30 cf/h" prompt="Please input a value between 5 and 30 cf/h" sqref="O30:O32" xr:uid="{4B04357F-15D4-4991-BE41-432315DE8E7A}">
      <formula1>5</formula1>
      <formula2>30</formula2>
    </dataValidation>
    <dataValidation type="decimal" allowBlank="1" showInputMessage="1" showErrorMessage="1" errorTitle="Value out of range" error="Please input a value between 0.1 and 20 cf/h" prompt="Please input a value between 0.1 and 20 cf/h" sqref="O28" xr:uid="{88799D3E-9C31-48FD-9710-AF9C48776D77}">
      <formula1>0.1</formula1>
      <formula2>20</formula2>
    </dataValidation>
    <dataValidation type="decimal" allowBlank="1" showInputMessage="1" showErrorMessage="1" errorTitle="Value out of range" error="Please input a value between 0.1 and 35 cf/h" prompt="Please input a value between 0.1 and 35 cf/h" sqref="O26" xr:uid="{5CEB62D8-2264-4E5C-AC17-3A8BA034F40C}">
      <formula1>0.1</formula1>
      <formula2>35</formula2>
    </dataValidation>
    <dataValidation type="list" allowBlank="1" showInputMessage="1" showErrorMessage="1" sqref="O18" xr:uid="{ECE4855C-3246-48B4-A0F5-F46F6778629F}">
      <formula1>Retrofit_lifetime</formula1>
    </dataValidation>
    <dataValidation type="decimal" allowBlank="1" showInputMessage="1" showErrorMessage="1" sqref="O14" xr:uid="{13FE3DB2-BF1D-44F5-91DB-2F1D7ACADC8D}">
      <formula1>0</formula1>
      <formula2>5</formula2>
    </dataValidation>
    <dataValidation type="list" allowBlank="1" showInputMessage="1" showErrorMessage="1" sqref="O16" xr:uid="{6E9238F3-DE40-44F4-B295-181353BF4D07}">
      <formula1>Interest_Rate_table</formula1>
    </dataValidation>
    <dataValidation type="list" allowBlank="1" showInputMessage="1" showErrorMessage="1" sqref="F26:F27 F29 F33" xr:uid="{696E31D9-E262-43DB-8B2A-76F0C431C9A2}">
      <formula1>SupplyGas</formula1>
    </dataValidation>
    <dataValidation type="list" allowBlank="1" showErrorMessage="1" errorTitle="Number ourt of range" error="Please enetr a number between 0 and 10" sqref="F20" xr:uid="{37028CFE-E7BF-436D-B16B-273DEAB1033D}">
      <formula1>Numberpump</formula1>
    </dataValidation>
    <dataValidation type="whole" allowBlank="1" showInputMessage="1" showErrorMessage="1" errorTitle="Value out of range" error="Please enetr a number between 0 and 10" prompt="Please select a number between 0 and 10" sqref="F18" xr:uid="{75DB887F-8D2D-4B09-B57A-B2A659B28CDB}">
      <formula1>0</formula1>
      <formula2>10</formula2>
    </dataValidation>
    <dataValidation type="whole" allowBlank="1" showInputMessage="1" showErrorMessage="1" errorTitle="Value out of range" error="Please enetr a number between 0 and 50" sqref="F16 F14" xr:uid="{5A25C490-9CA7-4339-84F8-EFC1394C872B}">
      <formula1>0</formula1>
      <formula2>100</formula2>
    </dataValidation>
    <dataValidation type="list" allowBlank="1" showInputMessage="1" showErrorMessage="1" sqref="F24" xr:uid="{18AD6A53-57B2-4BF1-9AD0-FE0BEDBB7361}">
      <formula1>Retrofit_New</formula1>
    </dataValidation>
    <dataValidation type="list" allowBlank="1" showInputMessage="1" showErrorMessage="1" sqref="F22" xr:uid="{B121A3EC-8E85-4613-8445-7D4A47ED9152}">
      <formula1>Electricity_available_on_site</formula1>
    </dataValidation>
    <dataValidation type="whole" allowBlank="1" showInputMessage="1" showErrorMessage="1" errorTitle="Value out of range" error="Please input a value between 1 hour and 12 hours" prompt="Please input a value between 1 hour and 12 hours. Includes travel to and from site. " sqref="O22" xr:uid="{784F3774-E77A-4731-86E7-A4F7DB68779D}">
      <formula1>1</formula1>
      <formula2>12</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01B064C-8632-41FA-ACD0-02805E43688B}">
          <x14:formula1>
            <xm:f>LIST!$J$9:$J$11</xm:f>
          </x14:formula1>
          <xm:sqref>F28</xm:sqref>
        </x14:dataValidation>
        <x14:dataValidation type="list" allowBlank="1" showInputMessage="1" showErrorMessage="1" prompt="Do you want to install a backup methanol fuel cell at the site?" xr:uid="{8BC85D2D-2E57-4375-9422-AAEA99B52E14}">
          <x14:formula1>
            <xm:f>LIST!$J$14:$J$15</xm:f>
          </x14:formula1>
          <xm:sqref>F30</xm:sqref>
        </x14:dataValidation>
        <x14:dataValidation type="list" allowBlank="1" showInputMessage="1" showErrorMessage="1" prompt="Only some retrofit sites require valve replacement. Select 'YES' if the existing valves need replacement, otherwise 'NO'." xr:uid="{9FD50A8B-1D0C-4314-9154-639EB64FF36C}">
          <x14:formula1>
            <xm:f>LIST!$H$19:$H$20</xm:f>
          </x14:formula1>
          <xm:sqref>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R137"/>
  <sheetViews>
    <sheetView showGridLines="0" showRowColHeaders="0" zoomScale="70" zoomScaleNormal="70" workbookViewId="0">
      <selection activeCell="C90" sqref="C90"/>
    </sheetView>
  </sheetViews>
  <sheetFormatPr baseColWidth="10" defaultColWidth="8.83203125" defaultRowHeight="14" x14ac:dyDescent="0.15"/>
  <cols>
    <col min="1" max="1" width="9" style="72" customWidth="1"/>
    <col min="2" max="2" width="59.83203125" customWidth="1"/>
    <col min="3" max="3" width="23.6640625" customWidth="1"/>
    <col min="4" max="4" width="14.83203125" bestFit="1" customWidth="1"/>
    <col min="5" max="5" width="37.6640625" customWidth="1"/>
  </cols>
  <sheetData>
    <row r="1" spans="1:18" x14ac:dyDescent="0.15">
      <c r="A1"/>
    </row>
    <row r="2" spans="1:18" x14ac:dyDescent="0.15">
      <c r="A2"/>
    </row>
    <row r="3" spans="1:18" x14ac:dyDescent="0.15">
      <c r="A3"/>
    </row>
    <row r="4" spans="1:18" x14ac:dyDescent="0.15">
      <c r="A4"/>
    </row>
    <row r="5" spans="1:18" ht="23" x14ac:dyDescent="0.15">
      <c r="A5"/>
      <c r="B5" s="122" t="s">
        <v>241</v>
      </c>
      <c r="C5" s="77"/>
      <c r="D5" s="77"/>
      <c r="E5" s="77"/>
      <c r="F5" s="77"/>
      <c r="G5" s="77"/>
      <c r="H5" s="77"/>
      <c r="I5" s="77"/>
      <c r="J5" s="77"/>
      <c r="K5" s="77"/>
      <c r="L5" s="77"/>
      <c r="M5" s="77"/>
      <c r="N5" s="77"/>
      <c r="O5" s="77"/>
      <c r="P5" s="77"/>
      <c r="Q5" s="77"/>
      <c r="R5" s="77"/>
    </row>
    <row r="6" spans="1:18" x14ac:dyDescent="0.15">
      <c r="A6"/>
    </row>
    <row r="7" spans="1:18" ht="14.25" customHeight="1" x14ac:dyDescent="0.15">
      <c r="A7"/>
      <c r="B7" s="253" t="s">
        <v>252</v>
      </c>
      <c r="C7" s="253"/>
      <c r="D7" s="253"/>
      <c r="E7" s="253"/>
    </row>
    <row r="8" spans="1:18" s="3" customFormat="1" ht="12" x14ac:dyDescent="0.15"/>
    <row r="9" spans="1:18" s="82" customFormat="1" ht="22.5" customHeight="1" x14ac:dyDescent="0.15">
      <c r="B9" s="123" t="s">
        <v>16</v>
      </c>
    </row>
    <row r="11" spans="1:18" ht="47" x14ac:dyDescent="0.15">
      <c r="A11" s="71"/>
      <c r="B11" s="83" t="s">
        <v>27</v>
      </c>
      <c r="C11" s="83" t="s">
        <v>239</v>
      </c>
      <c r="D11" s="83" t="s">
        <v>13</v>
      </c>
      <c r="E11" s="83" t="s">
        <v>240</v>
      </c>
    </row>
    <row r="12" spans="1:18" s="35" customFormat="1" ht="25.5" customHeight="1" x14ac:dyDescent="0.15">
      <c r="A12" s="71"/>
      <c r="B12" s="68" t="s">
        <v>28</v>
      </c>
      <c r="C12" s="69"/>
      <c r="D12" s="69"/>
      <c r="E12" s="69"/>
    </row>
    <row r="13" spans="1:18" x14ac:dyDescent="0.15">
      <c r="B13" s="6" t="s">
        <v>35</v>
      </c>
      <c r="C13" s="86">
        <v>60</v>
      </c>
      <c r="D13" s="8" t="s">
        <v>12</v>
      </c>
      <c r="E13" s="124" t="s">
        <v>25</v>
      </c>
    </row>
    <row r="14" spans="1:18" x14ac:dyDescent="0.15">
      <c r="B14" s="6" t="s">
        <v>17</v>
      </c>
      <c r="C14" s="86">
        <v>24</v>
      </c>
      <c r="D14" s="8" t="s">
        <v>12</v>
      </c>
      <c r="E14" s="124" t="s">
        <v>25</v>
      </c>
    </row>
    <row r="15" spans="1:18" x14ac:dyDescent="0.15">
      <c r="B15" s="6" t="s">
        <v>18</v>
      </c>
      <c r="C15" s="86">
        <v>365</v>
      </c>
      <c r="D15" s="8" t="s">
        <v>12</v>
      </c>
      <c r="E15" s="124" t="s">
        <v>25</v>
      </c>
    </row>
    <row r="16" spans="1:18" x14ac:dyDescent="0.15">
      <c r="B16" s="6" t="s">
        <v>286</v>
      </c>
      <c r="C16" s="86">
        <v>8</v>
      </c>
      <c r="D16" s="8" t="s">
        <v>303</v>
      </c>
      <c r="E16" s="124" t="s">
        <v>25</v>
      </c>
    </row>
    <row r="17" spans="1:5" x14ac:dyDescent="0.15">
      <c r="A17" s="72" t="s">
        <v>65</v>
      </c>
      <c r="B17" s="6" t="s">
        <v>36</v>
      </c>
      <c r="C17" s="87">
        <v>7.4569999999999997E-4</v>
      </c>
      <c r="D17" s="8" t="s">
        <v>37</v>
      </c>
      <c r="E17" s="124" t="s">
        <v>25</v>
      </c>
    </row>
    <row r="18" spans="1:5" x14ac:dyDescent="0.15">
      <c r="B18" s="6" t="s">
        <v>20</v>
      </c>
      <c r="C18" s="87">
        <v>0.65600000000000003</v>
      </c>
      <c r="D18" s="8" t="s">
        <v>21</v>
      </c>
      <c r="E18" s="124" t="s">
        <v>25</v>
      </c>
    </row>
    <row r="19" spans="1:5" x14ac:dyDescent="0.15">
      <c r="B19" s="6" t="s">
        <v>20</v>
      </c>
      <c r="C19" s="87">
        <v>1.8575851369600001E-2</v>
      </c>
      <c r="D19" s="8" t="s">
        <v>24</v>
      </c>
      <c r="E19" s="124" t="s">
        <v>25</v>
      </c>
    </row>
    <row r="20" spans="1:5" x14ac:dyDescent="0.15">
      <c r="B20" s="6" t="s">
        <v>22</v>
      </c>
      <c r="C20" s="87">
        <v>2.8316846600000001E-2</v>
      </c>
      <c r="D20" s="8" t="s">
        <v>23</v>
      </c>
      <c r="E20" s="124" t="s">
        <v>25</v>
      </c>
    </row>
    <row r="21" spans="1:5" x14ac:dyDescent="0.15">
      <c r="A21" s="72" t="s">
        <v>199</v>
      </c>
      <c r="B21" s="6" t="s">
        <v>82</v>
      </c>
      <c r="C21" s="12">
        <v>1.6723819684495472E-2</v>
      </c>
      <c r="D21" s="8" t="s">
        <v>117</v>
      </c>
      <c r="E21" s="125" t="s">
        <v>153</v>
      </c>
    </row>
    <row r="22" spans="1:5" x14ac:dyDescent="0.15">
      <c r="A22" s="72" t="s">
        <v>200</v>
      </c>
      <c r="B22" s="6" t="s">
        <v>118</v>
      </c>
      <c r="C22" s="12">
        <v>4.6333001853332591E-3</v>
      </c>
      <c r="D22" s="8" t="s">
        <v>128</v>
      </c>
      <c r="E22" s="125" t="s">
        <v>153</v>
      </c>
    </row>
    <row r="23" spans="1:5" x14ac:dyDescent="0.15">
      <c r="A23" s="72" t="s">
        <v>201</v>
      </c>
      <c r="B23" s="6" t="s">
        <v>82</v>
      </c>
      <c r="C23" s="12">
        <v>1.5001554408499363E-2</v>
      </c>
      <c r="D23" s="8" t="s">
        <v>117</v>
      </c>
      <c r="E23" s="125" t="s">
        <v>153</v>
      </c>
    </row>
    <row r="24" spans="1:5" s="24" customFormat="1" x14ac:dyDescent="0.15">
      <c r="A24" s="72" t="s">
        <v>202</v>
      </c>
      <c r="B24" s="6" t="s">
        <v>118</v>
      </c>
      <c r="C24" s="12">
        <v>5.0014892779989039E-3</v>
      </c>
      <c r="D24" s="8" t="s">
        <v>128</v>
      </c>
      <c r="E24" s="125" t="s">
        <v>153</v>
      </c>
    </row>
    <row r="25" spans="1:5" x14ac:dyDescent="0.15">
      <c r="B25" s="6" t="s">
        <v>216</v>
      </c>
      <c r="C25" s="89">
        <v>15</v>
      </c>
      <c r="D25" s="8" t="s">
        <v>50</v>
      </c>
      <c r="E25" s="125" t="s">
        <v>25</v>
      </c>
    </row>
    <row r="26" spans="1:5" x14ac:dyDescent="0.15">
      <c r="A26" s="40"/>
      <c r="B26" s="6" t="s">
        <v>217</v>
      </c>
      <c r="C26" s="87">
        <v>0.41</v>
      </c>
      <c r="D26" s="8" t="s">
        <v>14</v>
      </c>
      <c r="E26" s="124" t="s">
        <v>154</v>
      </c>
    </row>
    <row r="27" spans="1:5" ht="24" customHeight="1" x14ac:dyDescent="0.15">
      <c r="A27" s="40"/>
      <c r="B27" s="68" t="s">
        <v>308</v>
      </c>
      <c r="C27" s="70"/>
      <c r="D27" s="70"/>
      <c r="E27" s="70"/>
    </row>
    <row r="28" spans="1:5" x14ac:dyDescent="0.15">
      <c r="A28" s="40"/>
      <c r="B28" s="6" t="s">
        <v>26</v>
      </c>
      <c r="C28" s="14">
        <v>0.17</v>
      </c>
      <c r="D28" s="8" t="s">
        <v>19</v>
      </c>
      <c r="E28" s="124" t="s">
        <v>238</v>
      </c>
    </row>
    <row r="29" spans="1:5" x14ac:dyDescent="0.15">
      <c r="A29" s="40"/>
      <c r="B29" s="6" t="s">
        <v>30</v>
      </c>
      <c r="C29" s="14">
        <v>2</v>
      </c>
      <c r="D29" s="8" t="s">
        <v>19</v>
      </c>
      <c r="E29" s="124" t="s">
        <v>238</v>
      </c>
    </row>
    <row r="30" spans="1:5" x14ac:dyDescent="0.15">
      <c r="A30" s="40"/>
      <c r="B30" s="6" t="s">
        <v>32</v>
      </c>
      <c r="C30" s="87">
        <v>0.2026</v>
      </c>
      <c r="D30" s="8" t="s">
        <v>31</v>
      </c>
      <c r="E30" s="124" t="s">
        <v>238</v>
      </c>
    </row>
    <row r="31" spans="1:5" x14ac:dyDescent="0.15">
      <c r="A31" s="40"/>
      <c r="B31" s="6" t="s">
        <v>33</v>
      </c>
      <c r="C31" s="87">
        <v>4.2355999999999998</v>
      </c>
      <c r="D31" s="8" t="s">
        <v>34</v>
      </c>
      <c r="E31" s="124" t="s">
        <v>238</v>
      </c>
    </row>
    <row r="32" spans="1:5" x14ac:dyDescent="0.15">
      <c r="A32" s="40"/>
      <c r="B32" s="6" t="s">
        <v>38</v>
      </c>
      <c r="C32" s="14">
        <v>0.5</v>
      </c>
      <c r="D32" s="8" t="s">
        <v>19</v>
      </c>
      <c r="E32" s="124" t="s">
        <v>238</v>
      </c>
    </row>
    <row r="33" spans="1:10" x14ac:dyDescent="0.15">
      <c r="A33" s="40"/>
      <c r="B33" s="6" t="s">
        <v>64</v>
      </c>
      <c r="C33" s="89">
        <v>6</v>
      </c>
      <c r="D33" s="8" t="s">
        <v>50</v>
      </c>
      <c r="E33" s="124" t="s">
        <v>238</v>
      </c>
    </row>
    <row r="34" spans="1:10" s="35" customFormat="1" ht="25.5" customHeight="1" x14ac:dyDescent="0.15">
      <c r="A34" s="71"/>
      <c r="B34" s="68" t="s">
        <v>309</v>
      </c>
      <c r="C34" s="70"/>
      <c r="D34" s="70"/>
      <c r="E34" s="70"/>
    </row>
    <row r="35" spans="1:10" x14ac:dyDescent="0.15">
      <c r="A35" s="40"/>
      <c r="B35" s="6" t="s">
        <v>26</v>
      </c>
      <c r="C35" s="14">
        <v>0.05</v>
      </c>
      <c r="D35" s="8" t="s">
        <v>19</v>
      </c>
      <c r="E35" s="124" t="s">
        <v>238</v>
      </c>
    </row>
    <row r="36" spans="1:10" x14ac:dyDescent="0.15">
      <c r="A36" s="40"/>
      <c r="B36" s="6" t="s">
        <v>30</v>
      </c>
      <c r="C36" s="14">
        <v>1.5</v>
      </c>
      <c r="D36" s="8" t="s">
        <v>19</v>
      </c>
      <c r="E36" s="124" t="s">
        <v>238</v>
      </c>
    </row>
    <row r="37" spans="1:10" x14ac:dyDescent="0.15">
      <c r="A37" s="40"/>
      <c r="B37" s="6" t="s">
        <v>32</v>
      </c>
      <c r="C37" s="87">
        <v>0.2026</v>
      </c>
      <c r="D37" s="8" t="s">
        <v>31</v>
      </c>
      <c r="E37" s="124" t="s">
        <v>238</v>
      </c>
    </row>
    <row r="38" spans="1:10" x14ac:dyDescent="0.15">
      <c r="A38" s="40"/>
      <c r="B38" s="6" t="s">
        <v>33</v>
      </c>
      <c r="C38" s="87">
        <v>4.2355999999999998</v>
      </c>
      <c r="D38" s="8" t="s">
        <v>34</v>
      </c>
      <c r="E38" s="124" t="s">
        <v>238</v>
      </c>
    </row>
    <row r="39" spans="1:10" x14ac:dyDescent="0.15">
      <c r="A39" s="40"/>
      <c r="B39" s="6" t="s">
        <v>38</v>
      </c>
      <c r="C39" s="14">
        <v>0.3</v>
      </c>
      <c r="D39" s="8" t="s">
        <v>19</v>
      </c>
      <c r="E39" s="124" t="s">
        <v>238</v>
      </c>
    </row>
    <row r="40" spans="1:10" x14ac:dyDescent="0.15">
      <c r="A40" s="40"/>
      <c r="B40" s="6" t="s">
        <v>334</v>
      </c>
      <c r="C40" s="120">
        <v>0.3</v>
      </c>
      <c r="D40" s="8" t="s">
        <v>19</v>
      </c>
      <c r="E40" s="124" t="s">
        <v>238</v>
      </c>
    </row>
    <row r="41" spans="1:10" x14ac:dyDescent="0.15">
      <c r="A41" s="40"/>
      <c r="B41" s="6" t="s">
        <v>64</v>
      </c>
      <c r="C41" s="117">
        <v>10</v>
      </c>
      <c r="D41" s="8" t="s">
        <v>50</v>
      </c>
      <c r="E41" s="124" t="s">
        <v>238</v>
      </c>
    </row>
    <row r="42" spans="1:10" s="35" customFormat="1" ht="25.5" customHeight="1" x14ac:dyDescent="0.15">
      <c r="A42" s="71"/>
      <c r="B42" s="68" t="s">
        <v>222</v>
      </c>
      <c r="C42" s="70"/>
      <c r="D42" s="70"/>
      <c r="E42" s="70"/>
      <c r="G42"/>
      <c r="H42"/>
      <c r="I42"/>
      <c r="J42"/>
    </row>
    <row r="43" spans="1:10" x14ac:dyDescent="0.15">
      <c r="A43" s="40"/>
      <c r="B43" s="6" t="s">
        <v>94</v>
      </c>
      <c r="C43" s="88">
        <v>0.08</v>
      </c>
      <c r="D43" s="8" t="s">
        <v>101</v>
      </c>
      <c r="E43" s="124" t="s">
        <v>158</v>
      </c>
    </row>
    <row r="44" spans="1:10" x14ac:dyDescent="0.15">
      <c r="A44" s="40"/>
      <c r="B44" s="6" t="s">
        <v>95</v>
      </c>
      <c r="C44" s="88">
        <v>0.08</v>
      </c>
      <c r="D44" s="8" t="s">
        <v>101</v>
      </c>
      <c r="E44" s="124" t="s">
        <v>158</v>
      </c>
    </row>
    <row r="45" spans="1:10" x14ac:dyDescent="0.15">
      <c r="A45" s="40"/>
      <c r="B45" s="6" t="s">
        <v>1</v>
      </c>
      <c r="C45" s="88">
        <v>0.08</v>
      </c>
      <c r="D45" s="8" t="s">
        <v>101</v>
      </c>
      <c r="E45" s="124" t="s">
        <v>158</v>
      </c>
    </row>
    <row r="46" spans="1:10" x14ac:dyDescent="0.15">
      <c r="A46" s="40"/>
      <c r="B46" s="6" t="s">
        <v>0</v>
      </c>
      <c r="C46" s="88">
        <v>0.4</v>
      </c>
      <c r="D46" s="8" t="s">
        <v>129</v>
      </c>
      <c r="E46" s="124" t="s">
        <v>158</v>
      </c>
    </row>
    <row r="47" spans="1:10" x14ac:dyDescent="0.15">
      <c r="A47" s="40"/>
      <c r="B47" s="6" t="s">
        <v>42</v>
      </c>
      <c r="C47" s="88">
        <v>0.16</v>
      </c>
      <c r="D47" s="8" t="s">
        <v>101</v>
      </c>
      <c r="E47" s="124" t="s">
        <v>158</v>
      </c>
    </row>
    <row r="48" spans="1:10" x14ac:dyDescent="0.15">
      <c r="A48" s="40"/>
      <c r="B48" s="6" t="s">
        <v>108</v>
      </c>
      <c r="C48" s="88">
        <v>0.28999999999999998</v>
      </c>
      <c r="D48" s="8" t="s">
        <v>100</v>
      </c>
      <c r="E48" s="124" t="s">
        <v>158</v>
      </c>
    </row>
    <row r="49" spans="1:5" ht="26.5" customHeight="1" x14ac:dyDescent="0.15">
      <c r="A49" s="40"/>
      <c r="B49" s="68" t="s">
        <v>310</v>
      </c>
      <c r="C49" s="70"/>
      <c r="D49" s="70"/>
      <c r="E49" s="70"/>
    </row>
    <row r="50" spans="1:5" x14ac:dyDescent="0.15">
      <c r="A50" s="40"/>
      <c r="B50" s="6" t="s">
        <v>340</v>
      </c>
      <c r="C50" s="89">
        <v>4</v>
      </c>
      <c r="D50" s="8" t="s">
        <v>50</v>
      </c>
      <c r="E50" s="124" t="s">
        <v>156</v>
      </c>
    </row>
    <row r="51" spans="1:5" x14ac:dyDescent="0.15">
      <c r="A51" s="40"/>
      <c r="B51" s="6" t="s">
        <v>341</v>
      </c>
      <c r="C51" s="89">
        <v>7</v>
      </c>
      <c r="D51" s="8" t="s">
        <v>50</v>
      </c>
      <c r="E51" s="124" t="s">
        <v>156</v>
      </c>
    </row>
    <row r="52" spans="1:5" x14ac:dyDescent="0.15">
      <c r="A52" s="40"/>
      <c r="B52" s="6" t="s">
        <v>56</v>
      </c>
      <c r="C52" s="89">
        <v>10</v>
      </c>
      <c r="D52" s="8" t="s">
        <v>50</v>
      </c>
      <c r="E52" s="124" t="s">
        <v>156</v>
      </c>
    </row>
    <row r="53" spans="1:5" x14ac:dyDescent="0.15">
      <c r="A53" s="40"/>
      <c r="B53" s="6" t="s">
        <v>311</v>
      </c>
      <c r="C53" s="89">
        <v>12</v>
      </c>
      <c r="D53" s="8" t="s">
        <v>107</v>
      </c>
      <c r="E53" s="124" t="s">
        <v>157</v>
      </c>
    </row>
    <row r="54" spans="1:5" x14ac:dyDescent="0.15">
      <c r="A54" s="40"/>
      <c r="B54" s="6" t="s">
        <v>314</v>
      </c>
      <c r="C54" s="89">
        <v>24</v>
      </c>
      <c r="D54" s="8" t="s">
        <v>107</v>
      </c>
      <c r="E54" s="124" t="s">
        <v>157</v>
      </c>
    </row>
    <row r="55" spans="1:5" x14ac:dyDescent="0.15">
      <c r="A55" s="40"/>
      <c r="B55" s="6" t="s">
        <v>102</v>
      </c>
      <c r="C55" s="14">
        <v>0.85</v>
      </c>
      <c r="D55" s="8" t="s">
        <v>19</v>
      </c>
      <c r="E55" s="124" t="s">
        <v>157</v>
      </c>
    </row>
    <row r="56" spans="1:5" x14ac:dyDescent="0.15">
      <c r="A56" s="40"/>
      <c r="B56" s="6" t="s">
        <v>103</v>
      </c>
      <c r="C56" s="89">
        <v>4</v>
      </c>
      <c r="D56" s="8" t="s">
        <v>131</v>
      </c>
      <c r="E56" s="124" t="s">
        <v>156</v>
      </c>
    </row>
    <row r="57" spans="1:5" x14ac:dyDescent="0.15">
      <c r="A57" s="40"/>
      <c r="B57" s="6" t="s">
        <v>104</v>
      </c>
      <c r="C57" s="14">
        <v>0.8</v>
      </c>
      <c r="D57" s="8" t="s">
        <v>19</v>
      </c>
      <c r="E57" s="124" t="s">
        <v>158</v>
      </c>
    </row>
    <row r="58" spans="1:5" x14ac:dyDescent="0.15">
      <c r="A58" s="40"/>
      <c r="B58" s="6" t="s">
        <v>312</v>
      </c>
      <c r="C58" s="89">
        <v>10</v>
      </c>
      <c r="D58" s="8" t="s">
        <v>105</v>
      </c>
      <c r="E58" s="124" t="s">
        <v>158</v>
      </c>
    </row>
    <row r="59" spans="1:5" x14ac:dyDescent="0.15">
      <c r="A59" s="40"/>
      <c r="B59" s="6" t="s">
        <v>313</v>
      </c>
      <c r="C59" s="89">
        <v>4</v>
      </c>
      <c r="D59" s="8" t="s">
        <v>105</v>
      </c>
      <c r="E59" s="124" t="s">
        <v>158</v>
      </c>
    </row>
    <row r="60" spans="1:5" x14ac:dyDescent="0.15">
      <c r="A60" s="40"/>
      <c r="B60" s="6" t="s">
        <v>315</v>
      </c>
      <c r="C60" s="89">
        <v>140</v>
      </c>
      <c r="D60" s="8" t="s">
        <v>7</v>
      </c>
      <c r="E60" s="124" t="s">
        <v>157</v>
      </c>
    </row>
    <row r="61" spans="1:5" x14ac:dyDescent="0.15">
      <c r="A61" s="40"/>
      <c r="B61" s="6" t="s">
        <v>316</v>
      </c>
      <c r="C61" s="89">
        <v>320</v>
      </c>
      <c r="D61" s="8" t="s">
        <v>7</v>
      </c>
      <c r="E61" s="124" t="s">
        <v>157</v>
      </c>
    </row>
    <row r="62" spans="1:5" x14ac:dyDescent="0.15">
      <c r="A62" s="104" t="s">
        <v>375</v>
      </c>
      <c r="B62" s="6" t="s">
        <v>299</v>
      </c>
      <c r="C62" s="14">
        <v>0.35</v>
      </c>
      <c r="D62" s="8" t="s">
        <v>19</v>
      </c>
      <c r="E62" s="124" t="s">
        <v>158</v>
      </c>
    </row>
    <row r="63" spans="1:5" x14ac:dyDescent="0.15">
      <c r="A63" s="104" t="s">
        <v>295</v>
      </c>
      <c r="B63" s="6" t="s">
        <v>299</v>
      </c>
      <c r="C63" s="14">
        <v>0</v>
      </c>
      <c r="D63" s="8" t="s">
        <v>19</v>
      </c>
      <c r="E63" s="124" t="s">
        <v>158</v>
      </c>
    </row>
    <row r="64" spans="1:5" x14ac:dyDescent="0.15">
      <c r="A64" s="104" t="s">
        <v>296</v>
      </c>
      <c r="B64" s="6" t="s">
        <v>299</v>
      </c>
      <c r="C64" s="14">
        <v>-0.14000000000000001</v>
      </c>
      <c r="D64" s="8" t="s">
        <v>19</v>
      </c>
      <c r="E64" s="124" t="s">
        <v>158</v>
      </c>
    </row>
    <row r="65" spans="1:5" x14ac:dyDescent="0.15">
      <c r="A65" s="40"/>
      <c r="B65" s="6" t="s">
        <v>317</v>
      </c>
      <c r="C65" s="89">
        <v>100</v>
      </c>
      <c r="D65" s="8" t="s">
        <v>106</v>
      </c>
      <c r="E65" s="124" t="s">
        <v>157</v>
      </c>
    </row>
    <row r="66" spans="1:5" x14ac:dyDescent="0.15">
      <c r="A66" s="40"/>
      <c r="B66" s="6" t="s">
        <v>318</v>
      </c>
      <c r="C66" s="89">
        <v>1100</v>
      </c>
      <c r="D66" s="8" t="s">
        <v>106</v>
      </c>
      <c r="E66" s="124" t="s">
        <v>157</v>
      </c>
    </row>
    <row r="67" spans="1:5" x14ac:dyDescent="0.15">
      <c r="A67" s="40"/>
      <c r="B67" s="6" t="s">
        <v>116</v>
      </c>
      <c r="C67" s="89">
        <v>20</v>
      </c>
      <c r="D67" s="8" t="s">
        <v>12</v>
      </c>
      <c r="E67" s="124" t="s">
        <v>158</v>
      </c>
    </row>
    <row r="68" spans="1:5" x14ac:dyDescent="0.15">
      <c r="A68" s="40"/>
      <c r="B68" s="6" t="s">
        <v>319</v>
      </c>
      <c r="C68" s="14">
        <v>0.5</v>
      </c>
      <c r="D68" s="8" t="s">
        <v>19</v>
      </c>
      <c r="E68" s="124" t="s">
        <v>156</v>
      </c>
    </row>
    <row r="69" spans="1:5" x14ac:dyDescent="0.15">
      <c r="A69" s="40"/>
      <c r="B69" s="6" t="s">
        <v>320</v>
      </c>
      <c r="C69" s="14">
        <v>0.3</v>
      </c>
      <c r="D69" s="8" t="s">
        <v>19</v>
      </c>
      <c r="E69" s="124" t="s">
        <v>156</v>
      </c>
    </row>
    <row r="70" spans="1:5" x14ac:dyDescent="0.15">
      <c r="A70" s="40"/>
      <c r="B70" s="6" t="s">
        <v>152</v>
      </c>
      <c r="C70" s="89">
        <v>20</v>
      </c>
      <c r="D70" s="8" t="s">
        <v>12</v>
      </c>
      <c r="E70" s="124" t="s">
        <v>158</v>
      </c>
    </row>
    <row r="71" spans="1:5" s="35" customFormat="1" ht="25.5" customHeight="1" x14ac:dyDescent="0.15">
      <c r="A71" s="71"/>
      <c r="B71" s="68" t="s">
        <v>321</v>
      </c>
      <c r="C71" s="70"/>
      <c r="D71" s="70"/>
      <c r="E71" s="70"/>
    </row>
    <row r="72" spans="1:5" x14ac:dyDescent="0.15">
      <c r="A72" s="71">
        <v>5</v>
      </c>
      <c r="B72" s="31" t="s">
        <v>132</v>
      </c>
      <c r="C72" s="1">
        <v>22000</v>
      </c>
      <c r="D72" s="8" t="s">
        <v>43</v>
      </c>
      <c r="E72" s="124" t="s">
        <v>159</v>
      </c>
    </row>
    <row r="73" spans="1:5" x14ac:dyDescent="0.15">
      <c r="A73" s="71">
        <v>10</v>
      </c>
      <c r="B73" s="31" t="s">
        <v>132</v>
      </c>
      <c r="C73" s="1">
        <v>32000</v>
      </c>
      <c r="D73" s="8" t="s">
        <v>43</v>
      </c>
      <c r="E73" s="124" t="s">
        <v>159</v>
      </c>
    </row>
    <row r="74" spans="1:5" x14ac:dyDescent="0.15">
      <c r="A74" s="71">
        <v>15</v>
      </c>
      <c r="B74" s="31" t="s">
        <v>132</v>
      </c>
      <c r="C74" s="1">
        <v>48000</v>
      </c>
      <c r="D74" s="8" t="s">
        <v>43</v>
      </c>
      <c r="E74" s="124" t="s">
        <v>159</v>
      </c>
    </row>
    <row r="75" spans="1:5" x14ac:dyDescent="0.15">
      <c r="A75" s="71">
        <v>20</v>
      </c>
      <c r="B75" s="31" t="s">
        <v>132</v>
      </c>
      <c r="C75" s="1">
        <v>70000</v>
      </c>
      <c r="D75" s="8" t="s">
        <v>43</v>
      </c>
      <c r="E75" s="124" t="s">
        <v>159</v>
      </c>
    </row>
    <row r="76" spans="1:5" x14ac:dyDescent="0.15">
      <c r="A76" s="71">
        <v>5</v>
      </c>
      <c r="B76" s="31" t="s">
        <v>134</v>
      </c>
      <c r="C76" s="1">
        <v>7000</v>
      </c>
      <c r="D76" s="8" t="s">
        <v>43</v>
      </c>
      <c r="E76" s="124" t="s">
        <v>160</v>
      </c>
    </row>
    <row r="77" spans="1:5" x14ac:dyDescent="0.15">
      <c r="A77" s="71">
        <v>10</v>
      </c>
      <c r="B77" s="31" t="s">
        <v>134</v>
      </c>
      <c r="C77" s="1">
        <v>10000</v>
      </c>
      <c r="D77" s="8" t="s">
        <v>43</v>
      </c>
      <c r="E77" s="124" t="s">
        <v>160</v>
      </c>
    </row>
    <row r="78" spans="1:5" x14ac:dyDescent="0.15">
      <c r="A78" s="71">
        <v>15</v>
      </c>
      <c r="B78" s="31" t="s">
        <v>134</v>
      </c>
      <c r="C78" s="1">
        <v>15000</v>
      </c>
      <c r="D78" s="8" t="s">
        <v>43</v>
      </c>
      <c r="E78" s="124" t="s">
        <v>160</v>
      </c>
    </row>
    <row r="79" spans="1:5" x14ac:dyDescent="0.15">
      <c r="A79" s="71">
        <v>20</v>
      </c>
      <c r="B79" s="31" t="s">
        <v>134</v>
      </c>
      <c r="C79" s="1">
        <v>23000</v>
      </c>
      <c r="D79" s="8" t="s">
        <v>43</v>
      </c>
      <c r="E79" s="124" t="s">
        <v>160</v>
      </c>
    </row>
    <row r="80" spans="1:5" x14ac:dyDescent="0.15">
      <c r="A80" s="40" t="s">
        <v>203</v>
      </c>
      <c r="B80" s="31" t="s">
        <v>149</v>
      </c>
      <c r="C80" s="1">
        <v>1400</v>
      </c>
      <c r="D80" s="8" t="s">
        <v>124</v>
      </c>
      <c r="E80" s="124" t="s">
        <v>155</v>
      </c>
    </row>
    <row r="81" spans="1:5" x14ac:dyDescent="0.15">
      <c r="A81" s="40" t="s">
        <v>204</v>
      </c>
      <c r="B81" s="31" t="s">
        <v>149</v>
      </c>
      <c r="C81" s="1">
        <v>1000</v>
      </c>
      <c r="D81" s="8" t="s">
        <v>124</v>
      </c>
      <c r="E81" s="124" t="s">
        <v>155</v>
      </c>
    </row>
    <row r="82" spans="1:5" x14ac:dyDescent="0.15">
      <c r="A82" s="40" t="s">
        <v>205</v>
      </c>
      <c r="B82" s="31" t="s">
        <v>150</v>
      </c>
      <c r="C82" s="14">
        <v>1</v>
      </c>
      <c r="D82" s="8" t="s">
        <v>19</v>
      </c>
      <c r="E82" s="124" t="s">
        <v>155</v>
      </c>
    </row>
    <row r="83" spans="1:5" x14ac:dyDescent="0.15">
      <c r="A83" s="40" t="s">
        <v>206</v>
      </c>
      <c r="B83" s="31" t="s">
        <v>150</v>
      </c>
      <c r="C83" s="14">
        <v>0.5</v>
      </c>
      <c r="D83" s="8" t="s">
        <v>19</v>
      </c>
      <c r="E83" s="124" t="s">
        <v>155</v>
      </c>
    </row>
    <row r="84" spans="1:5" x14ac:dyDescent="0.15">
      <c r="A84" s="40"/>
      <c r="B84" s="6" t="s">
        <v>70</v>
      </c>
      <c r="C84" s="14">
        <v>0.04</v>
      </c>
      <c r="D84" s="8" t="s">
        <v>72</v>
      </c>
      <c r="E84" s="124" t="s">
        <v>161</v>
      </c>
    </row>
    <row r="85" spans="1:5" x14ac:dyDescent="0.15">
      <c r="A85" s="40"/>
      <c r="B85" s="6" t="s">
        <v>71</v>
      </c>
      <c r="C85" s="14">
        <v>0.04</v>
      </c>
      <c r="D85" s="8" t="s">
        <v>72</v>
      </c>
      <c r="E85" s="124" t="s">
        <v>161</v>
      </c>
    </row>
    <row r="86" spans="1:5" s="35" customFormat="1" ht="25.5" customHeight="1" x14ac:dyDescent="0.15">
      <c r="A86" s="71"/>
      <c r="B86" s="68" t="s">
        <v>305</v>
      </c>
      <c r="C86" s="70"/>
      <c r="D86" s="70"/>
      <c r="E86" s="70"/>
    </row>
    <row r="87" spans="1:5" x14ac:dyDescent="0.15">
      <c r="A87" s="40">
        <v>5</v>
      </c>
      <c r="B87" s="31" t="s">
        <v>132</v>
      </c>
      <c r="C87" s="1">
        <v>30000</v>
      </c>
      <c r="D87" s="8" t="s">
        <v>43</v>
      </c>
      <c r="E87" s="124" t="s">
        <v>159</v>
      </c>
    </row>
    <row r="88" spans="1:5" x14ac:dyDescent="0.15">
      <c r="A88" s="40">
        <v>10</v>
      </c>
      <c r="B88" s="31" t="s">
        <v>132</v>
      </c>
      <c r="C88" s="1">
        <v>37000</v>
      </c>
      <c r="D88" s="8" t="s">
        <v>43</v>
      </c>
      <c r="E88" s="124" t="s">
        <v>159</v>
      </c>
    </row>
    <row r="89" spans="1:5" x14ac:dyDescent="0.15">
      <c r="A89" s="40">
        <v>15</v>
      </c>
      <c r="B89" s="31" t="s">
        <v>132</v>
      </c>
      <c r="C89" s="1">
        <v>45000</v>
      </c>
      <c r="D89" s="8" t="s">
        <v>43</v>
      </c>
      <c r="E89" s="124" t="s">
        <v>159</v>
      </c>
    </row>
    <row r="90" spans="1:5" x14ac:dyDescent="0.15">
      <c r="A90" s="40">
        <v>20</v>
      </c>
      <c r="B90" s="31" t="s">
        <v>132</v>
      </c>
      <c r="C90" s="1">
        <v>50000</v>
      </c>
      <c r="D90" s="8" t="s">
        <v>43</v>
      </c>
      <c r="E90" s="124" t="s">
        <v>159</v>
      </c>
    </row>
    <row r="91" spans="1:5" x14ac:dyDescent="0.15">
      <c r="A91" s="40">
        <v>5</v>
      </c>
      <c r="B91" s="31" t="s">
        <v>134</v>
      </c>
      <c r="C91" s="1">
        <v>7000</v>
      </c>
      <c r="D91" s="8" t="s">
        <v>43</v>
      </c>
      <c r="E91" s="124" t="s">
        <v>160</v>
      </c>
    </row>
    <row r="92" spans="1:5" x14ac:dyDescent="0.15">
      <c r="A92" s="40">
        <v>10</v>
      </c>
      <c r="B92" s="31" t="s">
        <v>134</v>
      </c>
      <c r="C92" s="1">
        <v>10000</v>
      </c>
      <c r="D92" s="8" t="s">
        <v>43</v>
      </c>
      <c r="E92" s="124" t="s">
        <v>160</v>
      </c>
    </row>
    <row r="93" spans="1:5" x14ac:dyDescent="0.15">
      <c r="A93" s="40">
        <v>15</v>
      </c>
      <c r="B93" s="31" t="s">
        <v>134</v>
      </c>
      <c r="C93" s="1">
        <v>15000</v>
      </c>
      <c r="D93" s="8" t="s">
        <v>43</v>
      </c>
      <c r="E93" s="124" t="s">
        <v>160</v>
      </c>
    </row>
    <row r="94" spans="1:5" x14ac:dyDescent="0.15">
      <c r="A94" s="40">
        <v>20</v>
      </c>
      <c r="B94" s="31" t="s">
        <v>134</v>
      </c>
      <c r="C94" s="1">
        <v>23000</v>
      </c>
      <c r="D94" s="8" t="s">
        <v>43</v>
      </c>
      <c r="E94" s="124" t="s">
        <v>160</v>
      </c>
    </row>
    <row r="95" spans="1:5" x14ac:dyDescent="0.15">
      <c r="B95" s="31" t="s">
        <v>149</v>
      </c>
      <c r="C95" s="1">
        <v>0</v>
      </c>
      <c r="D95" s="8" t="s">
        <v>124</v>
      </c>
      <c r="E95" s="124" t="s">
        <v>155</v>
      </c>
    </row>
    <row r="96" spans="1:5" x14ac:dyDescent="0.15">
      <c r="B96" s="31" t="s">
        <v>149</v>
      </c>
      <c r="C96" s="1">
        <v>0</v>
      </c>
      <c r="D96" s="8" t="s">
        <v>124</v>
      </c>
      <c r="E96" s="124" t="s">
        <v>155</v>
      </c>
    </row>
    <row r="97" spans="1:5" x14ac:dyDescent="0.15">
      <c r="A97" s="40" t="s">
        <v>205</v>
      </c>
      <c r="B97" s="31" t="s">
        <v>150</v>
      </c>
      <c r="C97" s="14">
        <v>0.75</v>
      </c>
      <c r="D97" s="8" t="s">
        <v>19</v>
      </c>
      <c r="E97" s="124" t="s">
        <v>155</v>
      </c>
    </row>
    <row r="98" spans="1:5" x14ac:dyDescent="0.15">
      <c r="A98" s="40" t="s">
        <v>206</v>
      </c>
      <c r="B98" s="31" t="s">
        <v>150</v>
      </c>
      <c r="C98" s="120">
        <v>0.5</v>
      </c>
      <c r="D98" s="8" t="s">
        <v>19</v>
      </c>
      <c r="E98" s="124" t="s">
        <v>155</v>
      </c>
    </row>
    <row r="99" spans="1:5" x14ac:dyDescent="0.15">
      <c r="B99" s="6" t="s">
        <v>70</v>
      </c>
      <c r="C99" s="14">
        <v>0.04</v>
      </c>
      <c r="D99" s="8" t="s">
        <v>72</v>
      </c>
      <c r="E99" s="124" t="s">
        <v>161</v>
      </c>
    </row>
    <row r="100" spans="1:5" x14ac:dyDescent="0.15">
      <c r="B100" s="6" t="s">
        <v>71</v>
      </c>
      <c r="C100" s="14">
        <v>0</v>
      </c>
      <c r="D100" s="8" t="s">
        <v>72</v>
      </c>
      <c r="E100" s="124" t="s">
        <v>161</v>
      </c>
    </row>
    <row r="101" spans="1:5" s="35" customFormat="1" ht="25.5" customHeight="1" x14ac:dyDescent="0.15">
      <c r="A101" s="71"/>
      <c r="B101" s="68" t="s">
        <v>223</v>
      </c>
      <c r="C101" s="70"/>
      <c r="D101" s="70"/>
      <c r="E101" s="70"/>
    </row>
    <row r="102" spans="1:5" x14ac:dyDescent="0.15">
      <c r="A102" s="40"/>
      <c r="B102" s="6" t="s">
        <v>96</v>
      </c>
      <c r="C102" s="1">
        <v>4000</v>
      </c>
      <c r="D102" s="8" t="s">
        <v>45</v>
      </c>
      <c r="E102" s="124" t="s">
        <v>156</v>
      </c>
    </row>
    <row r="103" spans="1:5" x14ac:dyDescent="0.15">
      <c r="A103" s="40"/>
      <c r="B103" s="6" t="s">
        <v>97</v>
      </c>
      <c r="C103" s="1">
        <v>4000</v>
      </c>
      <c r="D103" s="8" t="s">
        <v>45</v>
      </c>
      <c r="E103" s="124" t="s">
        <v>156</v>
      </c>
    </row>
    <row r="104" spans="1:5" x14ac:dyDescent="0.15">
      <c r="A104" s="40"/>
      <c r="B104" s="6" t="s">
        <v>322</v>
      </c>
      <c r="C104" s="1">
        <v>2000</v>
      </c>
      <c r="D104" s="8" t="s">
        <v>45</v>
      </c>
      <c r="E104" s="124" t="s">
        <v>156</v>
      </c>
    </row>
    <row r="105" spans="1:5" x14ac:dyDescent="0.15">
      <c r="A105" s="40"/>
      <c r="B105" s="6" t="s">
        <v>323</v>
      </c>
      <c r="C105" s="1">
        <v>2000</v>
      </c>
      <c r="D105" s="8" t="s">
        <v>45</v>
      </c>
      <c r="E105" s="124" t="s">
        <v>156</v>
      </c>
    </row>
    <row r="106" spans="1:5" x14ac:dyDescent="0.15">
      <c r="A106" s="40"/>
      <c r="B106" s="6" t="s">
        <v>324</v>
      </c>
      <c r="C106" s="1">
        <v>2500</v>
      </c>
      <c r="D106" s="8" t="s">
        <v>45</v>
      </c>
      <c r="E106" s="124" t="s">
        <v>156</v>
      </c>
    </row>
    <row r="107" spans="1:5" x14ac:dyDescent="0.15">
      <c r="A107" s="40"/>
      <c r="B107" s="6" t="s">
        <v>44</v>
      </c>
      <c r="C107" s="1">
        <v>6000</v>
      </c>
      <c r="D107" s="8" t="s">
        <v>45</v>
      </c>
      <c r="E107" s="124" t="s">
        <v>156</v>
      </c>
    </row>
    <row r="108" spans="1:5" x14ac:dyDescent="0.15">
      <c r="A108" s="40"/>
      <c r="B108" s="6" t="s">
        <v>90</v>
      </c>
      <c r="C108" s="1">
        <v>4000</v>
      </c>
      <c r="D108" s="8" t="s">
        <v>45</v>
      </c>
      <c r="E108" s="124" t="s">
        <v>156</v>
      </c>
    </row>
    <row r="109" spans="1:5" x14ac:dyDescent="0.15">
      <c r="A109" s="40"/>
      <c r="B109" s="6" t="s">
        <v>283</v>
      </c>
      <c r="C109" s="119">
        <v>75</v>
      </c>
      <c r="D109" s="8" t="s">
        <v>285</v>
      </c>
      <c r="E109" s="124" t="s">
        <v>156</v>
      </c>
    </row>
    <row r="110" spans="1:5" x14ac:dyDescent="0.15">
      <c r="A110" s="106" t="s">
        <v>300</v>
      </c>
      <c r="B110" s="6" t="s">
        <v>287</v>
      </c>
      <c r="C110" s="88">
        <v>0.75</v>
      </c>
      <c r="D110" s="116" t="s">
        <v>346</v>
      </c>
      <c r="E110" s="124" t="s">
        <v>156</v>
      </c>
    </row>
    <row r="111" spans="1:5" x14ac:dyDescent="0.15">
      <c r="A111" s="106" t="s">
        <v>301</v>
      </c>
      <c r="B111" s="6" t="s">
        <v>288</v>
      </c>
      <c r="C111" s="88">
        <v>0.5</v>
      </c>
      <c r="D111" s="116" t="s">
        <v>346</v>
      </c>
      <c r="E111" s="124" t="s">
        <v>156</v>
      </c>
    </row>
    <row r="112" spans="1:5" x14ac:dyDescent="0.15">
      <c r="A112" s="40"/>
      <c r="B112" s="6" t="s">
        <v>218</v>
      </c>
      <c r="C112" s="1">
        <v>80</v>
      </c>
      <c r="D112" s="8" t="s">
        <v>130</v>
      </c>
      <c r="E112" s="124" t="s">
        <v>153</v>
      </c>
    </row>
    <row r="113" spans="1:5" ht="26.5" customHeight="1" x14ac:dyDescent="0.15">
      <c r="A113" s="40"/>
      <c r="B113" s="68" t="s">
        <v>325</v>
      </c>
      <c r="C113" s="70"/>
      <c r="D113" s="70"/>
      <c r="E113" s="70"/>
    </row>
    <row r="114" spans="1:5" x14ac:dyDescent="0.15">
      <c r="A114" s="40"/>
      <c r="B114" s="6" t="s">
        <v>329</v>
      </c>
      <c r="C114" s="1">
        <v>400</v>
      </c>
      <c r="D114" s="8" t="s">
        <v>45</v>
      </c>
      <c r="E114" s="124" t="s">
        <v>157</v>
      </c>
    </row>
    <row r="115" spans="1:5" x14ac:dyDescent="0.15">
      <c r="A115" s="40"/>
      <c r="B115" s="6" t="s">
        <v>326</v>
      </c>
      <c r="C115" s="1">
        <v>200</v>
      </c>
      <c r="D115" s="8" t="s">
        <v>45</v>
      </c>
      <c r="E115" s="124" t="s">
        <v>157</v>
      </c>
    </row>
    <row r="116" spans="1:5" x14ac:dyDescent="0.15">
      <c r="A116" s="40"/>
      <c r="B116" s="6" t="s">
        <v>327</v>
      </c>
      <c r="C116" s="1">
        <v>500</v>
      </c>
      <c r="D116" s="8" t="s">
        <v>45</v>
      </c>
      <c r="E116" s="124" t="s">
        <v>348</v>
      </c>
    </row>
    <row r="117" spans="1:5" x14ac:dyDescent="0.15">
      <c r="A117" s="40"/>
      <c r="B117" s="6" t="s">
        <v>328</v>
      </c>
      <c r="C117" s="1">
        <v>3500</v>
      </c>
      <c r="D117" s="8" t="s">
        <v>45</v>
      </c>
      <c r="E117" s="124" t="s">
        <v>348</v>
      </c>
    </row>
    <row r="118" spans="1:5" x14ac:dyDescent="0.15">
      <c r="A118" s="40"/>
      <c r="B118" s="6" t="s">
        <v>289</v>
      </c>
      <c r="C118" s="1">
        <v>20000</v>
      </c>
      <c r="D118" s="8" t="s">
        <v>45</v>
      </c>
      <c r="E118" s="124" t="s">
        <v>157</v>
      </c>
    </row>
    <row r="119" spans="1:5" x14ac:dyDescent="0.15">
      <c r="A119" s="40"/>
      <c r="B119" s="6" t="s">
        <v>306</v>
      </c>
      <c r="C119" s="1">
        <v>3500</v>
      </c>
      <c r="D119" s="8" t="s">
        <v>45</v>
      </c>
      <c r="E119" s="124" t="s">
        <v>157</v>
      </c>
    </row>
    <row r="120" spans="1:5" x14ac:dyDescent="0.15">
      <c r="A120" s="40"/>
      <c r="B120" s="6" t="s">
        <v>121</v>
      </c>
      <c r="C120" s="114">
        <v>0.12</v>
      </c>
      <c r="D120" s="8" t="s">
        <v>122</v>
      </c>
      <c r="E120" s="124" t="s">
        <v>153</v>
      </c>
    </row>
    <row r="121" spans="1:5" ht="29" customHeight="1" x14ac:dyDescent="0.15">
      <c r="B121" s="68" t="s">
        <v>219</v>
      </c>
      <c r="C121" s="69"/>
      <c r="D121" s="69"/>
      <c r="E121" s="69"/>
    </row>
    <row r="122" spans="1:5" x14ac:dyDescent="0.15">
      <c r="B122" s="6" t="s">
        <v>96</v>
      </c>
      <c r="C122" s="1">
        <v>2698</v>
      </c>
      <c r="D122" s="8" t="s">
        <v>220</v>
      </c>
      <c r="E122" s="124" t="s">
        <v>162</v>
      </c>
    </row>
    <row r="123" spans="1:5" x14ac:dyDescent="0.15">
      <c r="B123" s="6" t="s">
        <v>97</v>
      </c>
      <c r="C123" s="1">
        <v>2471</v>
      </c>
      <c r="D123" s="8" t="s">
        <v>220</v>
      </c>
      <c r="E123" s="124" t="s">
        <v>162</v>
      </c>
    </row>
    <row r="124" spans="1:5" x14ac:dyDescent="0.15">
      <c r="B124" s="6" t="s">
        <v>44</v>
      </c>
      <c r="C124" s="1">
        <v>1500</v>
      </c>
      <c r="D124" s="8" t="s">
        <v>45</v>
      </c>
      <c r="E124" s="124" t="s">
        <v>159</v>
      </c>
    </row>
    <row r="125" spans="1:5" x14ac:dyDescent="0.15">
      <c r="B125" s="6" t="s">
        <v>42</v>
      </c>
      <c r="C125" s="1">
        <v>1000</v>
      </c>
      <c r="D125" s="8" t="s">
        <v>45</v>
      </c>
      <c r="E125" s="124" t="s">
        <v>159</v>
      </c>
    </row>
    <row r="126" spans="1:5" x14ac:dyDescent="0.15">
      <c r="B126" s="6" t="s">
        <v>59</v>
      </c>
      <c r="C126" s="1">
        <v>387</v>
      </c>
      <c r="D126" s="8" t="s">
        <v>45</v>
      </c>
      <c r="E126" s="124" t="s">
        <v>163</v>
      </c>
    </row>
    <row r="127" spans="1:5" x14ac:dyDescent="0.15">
      <c r="B127" s="6" t="s">
        <v>60</v>
      </c>
      <c r="C127" s="1">
        <v>387</v>
      </c>
      <c r="D127" s="8" t="s">
        <v>45</v>
      </c>
      <c r="E127" s="124" t="s">
        <v>153</v>
      </c>
    </row>
    <row r="128" spans="1:5" x14ac:dyDescent="0.15">
      <c r="B128" s="6" t="s">
        <v>98</v>
      </c>
      <c r="C128" s="1">
        <v>200</v>
      </c>
      <c r="D128" s="8" t="s">
        <v>221</v>
      </c>
      <c r="E128" s="124" t="s">
        <v>155</v>
      </c>
    </row>
    <row r="129" spans="2:5" x14ac:dyDescent="0.15">
      <c r="B129" s="6" t="s">
        <v>99</v>
      </c>
      <c r="C129" s="1">
        <v>80</v>
      </c>
      <c r="D129" s="8" t="s">
        <v>45</v>
      </c>
      <c r="E129" s="124" t="s">
        <v>163</v>
      </c>
    </row>
    <row r="130" spans="2:5" x14ac:dyDescent="0.15">
      <c r="C130" s="115"/>
    </row>
    <row r="131" spans="2:5" x14ac:dyDescent="0.15">
      <c r="B131" s="6" t="s">
        <v>368</v>
      </c>
      <c r="C131" s="220">
        <v>1.1023099999999999</v>
      </c>
      <c r="D131" s="8" t="s">
        <v>369</v>
      </c>
      <c r="E131" s="6"/>
    </row>
    <row r="132" spans="2:5" x14ac:dyDescent="0.15">
      <c r="B132" s="6" t="s">
        <v>366</v>
      </c>
      <c r="C132" s="220">
        <v>1.161</v>
      </c>
      <c r="D132" s="8"/>
      <c r="E132" s="6"/>
    </row>
    <row r="133" spans="2:5" x14ac:dyDescent="0.15">
      <c r="C133" s="115"/>
    </row>
    <row r="134" spans="2:5" x14ac:dyDescent="0.15">
      <c r="C134" s="115"/>
    </row>
    <row r="135" spans="2:5" x14ac:dyDescent="0.15">
      <c r="C135" s="115"/>
    </row>
    <row r="136" spans="2:5" x14ac:dyDescent="0.15">
      <c r="C136" s="115"/>
    </row>
    <row r="137" spans="2:5" x14ac:dyDescent="0.15">
      <c r="C137" s="115"/>
    </row>
  </sheetData>
  <sheetProtection algorithmName="SHA-512" hashValue="qbyzUfk+Wmj2qJA45Lj+AETxehM0h59ubkCRTtoVVHojMlpBpwPhg1CS41HGHuriAFdoazjWvYU+oCuQg13DLg==" saltValue="+M9Zg/cS3Z3KaX3+S54FEg==" spinCount="100000" sheet="1" objects="1" scenarios="1"/>
  <mergeCells count="1">
    <mergeCell ref="B7:E7"/>
  </mergeCell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32"/>
  <sheetViews>
    <sheetView showGridLines="0" zoomScale="120" zoomScaleNormal="120" workbookViewId="0">
      <selection activeCell="C49" sqref="C49"/>
    </sheetView>
  </sheetViews>
  <sheetFormatPr baseColWidth="10" defaultColWidth="9" defaultRowHeight="12" outlineLevelRow="1" x14ac:dyDescent="0.15"/>
  <cols>
    <col min="1" max="1" width="2.33203125" style="3" customWidth="1"/>
    <col min="2" max="2" width="22.1640625" style="3" customWidth="1"/>
    <col min="3" max="3" width="42.6640625" style="3" bestFit="1" customWidth="1"/>
    <col min="4" max="4" width="18.33203125" style="3" customWidth="1"/>
    <col min="5" max="5" width="22.33203125" style="3" bestFit="1" customWidth="1"/>
    <col min="6" max="6" width="18" style="3" bestFit="1" customWidth="1"/>
    <col min="7" max="7" width="26.1640625" style="3" bestFit="1" customWidth="1"/>
    <col min="8" max="8" width="12.6640625" style="3" customWidth="1"/>
    <col min="9" max="9" width="13.33203125" style="3" customWidth="1"/>
    <col min="10" max="22" width="10.1640625" style="3" customWidth="1"/>
    <col min="23" max="16384" width="9" style="3"/>
  </cols>
  <sheetData>
    <row r="1" spans="1:19" customFormat="1" ht="14" x14ac:dyDescent="0.15"/>
    <row r="2" spans="1:19" customFormat="1" ht="14" x14ac:dyDescent="0.15"/>
    <row r="3" spans="1:19" customFormat="1" ht="14" x14ac:dyDescent="0.15"/>
    <row r="4" spans="1:19" customFormat="1" ht="14" x14ac:dyDescent="0.15"/>
    <row r="5" spans="1:19" customFormat="1" ht="23" x14ac:dyDescent="0.15">
      <c r="B5" s="122" t="s">
        <v>237</v>
      </c>
      <c r="C5" s="77"/>
      <c r="D5" s="77"/>
      <c r="E5" s="77"/>
      <c r="F5" s="77"/>
      <c r="G5" s="77"/>
      <c r="H5" s="77"/>
      <c r="I5" s="77"/>
      <c r="J5" s="77"/>
      <c r="K5" s="77"/>
      <c r="L5" s="77"/>
      <c r="M5" s="77"/>
      <c r="N5" s="77"/>
      <c r="O5" s="77"/>
      <c r="P5" s="77"/>
      <c r="Q5" s="77"/>
      <c r="R5" s="77"/>
    </row>
    <row r="6" spans="1:19" customFormat="1" ht="14" x14ac:dyDescent="0.15"/>
    <row r="7" spans="1:19" customFormat="1" ht="14" x14ac:dyDescent="0.15">
      <c r="B7" s="85" t="s">
        <v>247</v>
      </c>
    </row>
    <row r="9" spans="1:19" s="82" customFormat="1" ht="22.5" customHeight="1" x14ac:dyDescent="0.15">
      <c r="B9" s="123" t="s">
        <v>16</v>
      </c>
    </row>
    <row r="10" spans="1:19" x14ac:dyDescent="0.15">
      <c r="A10" s="4" t="s">
        <v>9</v>
      </c>
      <c r="B10" s="4"/>
      <c r="D10" s="5"/>
      <c r="E10" s="5"/>
      <c r="F10" s="5"/>
      <c r="G10" s="5"/>
      <c r="H10" s="5"/>
      <c r="K10" s="5"/>
      <c r="L10" s="5"/>
      <c r="M10" s="5"/>
      <c r="N10" s="5"/>
      <c r="O10" s="5"/>
      <c r="P10" s="5"/>
      <c r="Q10" s="5"/>
    </row>
    <row r="11" spans="1:19" s="19" customFormat="1" ht="52" x14ac:dyDescent="0.15">
      <c r="B11" s="20" t="s">
        <v>210</v>
      </c>
      <c r="C11" s="20" t="s">
        <v>211</v>
      </c>
      <c r="D11" s="20" t="s">
        <v>297</v>
      </c>
      <c r="E11" s="20" t="s">
        <v>376</v>
      </c>
      <c r="F11" s="20" t="s">
        <v>298</v>
      </c>
      <c r="G11" s="20" t="s">
        <v>373</v>
      </c>
      <c r="H11" s="20" t="s">
        <v>207</v>
      </c>
      <c r="I11" s="20" t="s">
        <v>208</v>
      </c>
      <c r="J11" s="20" t="s">
        <v>209</v>
      </c>
      <c r="K11" s="20" t="s">
        <v>212</v>
      </c>
      <c r="L11" s="20" t="s">
        <v>304</v>
      </c>
      <c r="M11" s="5"/>
      <c r="N11" s="5"/>
      <c r="O11" s="5"/>
      <c r="P11" s="5"/>
      <c r="Q11" s="5"/>
      <c r="R11" s="3"/>
      <c r="S11" s="3"/>
    </row>
    <row r="12" spans="1:19" x14ac:dyDescent="0.15">
      <c r="B12" s="1" t="str">
        <f>VLOOKUP(DASHBOARD!F24,LIST!B4:D5,2,FALSE)</f>
        <v>R</v>
      </c>
      <c r="C12" s="1" t="str">
        <f>VLOOKUP(DASHBOARD!F22,LIST!E4:F5,2,FALSE)</f>
        <v>NE</v>
      </c>
      <c r="D12" s="1" t="str">
        <f>VLOOKUP(DASHBOARD!F26,LIST!J4:L5,2,FALSE)</f>
        <v>D</v>
      </c>
      <c r="E12" s="1" t="str">
        <f>VLOOKUP(DASHBOARD!F28,LIST!J9:K11,2,FALSE)</f>
        <v>O2</v>
      </c>
      <c r="F12" s="1" t="str">
        <f>VLOOKUP(DASHBOARD!F30,LIST!J14:K15,2,FALSE)</f>
        <v>N</v>
      </c>
      <c r="G12" s="1" t="str">
        <f>VLOOKUP(DASHBOARD!F32,LIST!H19:I20,2,FALSE)</f>
        <v>Y</v>
      </c>
      <c r="H12" s="90">
        <f>DASHBOARD!F14</f>
        <v>10</v>
      </c>
      <c r="I12" s="90">
        <f>DASHBOARD!F16</f>
        <v>2</v>
      </c>
      <c r="J12" s="90">
        <f>DASHBOARD!F20</f>
        <v>0</v>
      </c>
      <c r="K12" s="90">
        <f>DASHBOARD!F18</f>
        <v>1</v>
      </c>
      <c r="L12" s="90">
        <f>DASHBOARD!O22</f>
        <v>8</v>
      </c>
      <c r="M12" s="5"/>
      <c r="N12" s="5"/>
      <c r="O12" s="5"/>
      <c r="P12" s="5"/>
      <c r="Q12" s="5"/>
    </row>
    <row r="14" spans="1:19" s="82" customFormat="1" ht="22.5" customHeight="1" x14ac:dyDescent="0.15">
      <c r="B14" s="123" t="s">
        <v>255</v>
      </c>
    </row>
    <row r="16" spans="1:19" x14ac:dyDescent="0.15">
      <c r="C16" s="2"/>
      <c r="D16" s="7" t="s">
        <v>253</v>
      </c>
      <c r="E16" s="7" t="s">
        <v>11</v>
      </c>
      <c r="F16" s="7" t="s">
        <v>254</v>
      </c>
    </row>
    <row r="17" spans="2:12" x14ac:dyDescent="0.15">
      <c r="C17" s="41" t="s">
        <v>13</v>
      </c>
      <c r="D17" s="44" t="s">
        <v>14</v>
      </c>
      <c r="E17" s="44" t="s">
        <v>12</v>
      </c>
      <c r="F17" s="44" t="s">
        <v>14</v>
      </c>
    </row>
    <row r="18" spans="2:12" x14ac:dyDescent="0.15">
      <c r="B18" s="13"/>
      <c r="C18" s="41" t="s">
        <v>94</v>
      </c>
      <c r="D18" s="45">
        <f>DASHBOARD!O26</f>
        <v>14.43</v>
      </c>
      <c r="E18" s="91">
        <f>H12</f>
        <v>10</v>
      </c>
      <c r="F18" s="46">
        <f>D18*E18</f>
        <v>144.30000000000001</v>
      </c>
      <c r="L18" s="23"/>
    </row>
    <row r="19" spans="2:12" x14ac:dyDescent="0.15">
      <c r="B19" s="13"/>
      <c r="C19" s="41" t="s">
        <v>95</v>
      </c>
      <c r="D19" s="45">
        <f>DASHBOARD!O28</f>
        <v>4.43</v>
      </c>
      <c r="E19" s="91">
        <f>I12</f>
        <v>2</v>
      </c>
      <c r="F19" s="46">
        <f>D19*E19</f>
        <v>8.86</v>
      </c>
      <c r="L19" s="23"/>
    </row>
    <row r="20" spans="2:12" x14ac:dyDescent="0.15">
      <c r="B20" s="13"/>
      <c r="C20" s="41" t="s">
        <v>0</v>
      </c>
      <c r="D20" s="45">
        <f>DASHBOARD!O30</f>
        <v>13.3</v>
      </c>
      <c r="E20" s="91">
        <f>J12</f>
        <v>0</v>
      </c>
      <c r="F20" s="46">
        <f>D20*E20</f>
        <v>0</v>
      </c>
      <c r="L20" s="23"/>
    </row>
    <row r="21" spans="2:12" x14ac:dyDescent="0.15">
      <c r="B21" s="13"/>
      <c r="C21" s="41" t="s">
        <v>42</v>
      </c>
      <c r="D21" s="45">
        <f>ASSUMPTIONS!C26</f>
        <v>0.41</v>
      </c>
      <c r="E21" s="91">
        <f>K12</f>
        <v>1</v>
      </c>
      <c r="F21" s="46">
        <f>D21*E21</f>
        <v>0.41</v>
      </c>
      <c r="L21" s="23"/>
    </row>
    <row r="22" spans="2:12" x14ac:dyDescent="0.15">
      <c r="B22" s="13"/>
      <c r="C22" s="13"/>
      <c r="D22" s="13"/>
      <c r="E22" s="13"/>
      <c r="F22" s="13"/>
      <c r="G22" s="13"/>
      <c r="H22" s="13"/>
      <c r="I22" s="13"/>
      <c r="L22" s="23"/>
    </row>
    <row r="23" spans="2:12" x14ac:dyDescent="0.15">
      <c r="B23" s="13"/>
      <c r="C23" s="42" t="s">
        <v>87</v>
      </c>
      <c r="D23" s="15"/>
      <c r="E23" s="15"/>
      <c r="F23" s="46">
        <f>SUM(F18:F21)</f>
        <v>153.57000000000002</v>
      </c>
      <c r="G23" s="44" t="str">
        <f>F17</f>
        <v>cf/h</v>
      </c>
      <c r="H23" s="10"/>
      <c r="L23" s="23"/>
    </row>
    <row r="24" spans="2:12" x14ac:dyDescent="0.15">
      <c r="C24" s="43" t="s">
        <v>87</v>
      </c>
      <c r="D24" s="9"/>
      <c r="E24" s="9"/>
      <c r="F24" s="47">
        <f>F23*Number_Hours*Number_Days/1000</f>
        <v>1345.2732000000001</v>
      </c>
      <c r="G24" s="48" t="s">
        <v>248</v>
      </c>
      <c r="H24" s="10"/>
      <c r="L24" s="23"/>
    </row>
    <row r="25" spans="2:12" x14ac:dyDescent="0.15">
      <c r="B25" s="40" t="str">
        <f>C25&amp;"-"&amp;$D$12</f>
        <v>Share methane in the Gas-D</v>
      </c>
      <c r="C25" s="42" t="s">
        <v>82</v>
      </c>
      <c r="D25" s="15"/>
      <c r="E25" s="15"/>
      <c r="F25" s="49">
        <f>VLOOKUP(B25,ASSUMPTIONS!$A$21:$C$24,3,FALSE)</f>
        <v>1.6723819684495472E-2</v>
      </c>
      <c r="G25" s="44" t="s">
        <v>117</v>
      </c>
      <c r="H25" s="10"/>
      <c r="L25" s="23"/>
    </row>
    <row r="26" spans="2:12" x14ac:dyDescent="0.15">
      <c r="B26" s="40" t="str">
        <f>C26&amp;"-"&amp;$D$12</f>
        <v>Share of VOC in the gas-D</v>
      </c>
      <c r="C26" s="42" t="s">
        <v>118</v>
      </c>
      <c r="D26" s="15"/>
      <c r="E26" s="15"/>
      <c r="F26" s="49">
        <f>VLOOKUP(B26,ASSUMPTIONS!$A$21:$C$24,3,FALSE)</f>
        <v>4.6333001853332591E-3</v>
      </c>
      <c r="G26" s="44" t="s">
        <v>128</v>
      </c>
      <c r="H26" s="10"/>
      <c r="L26" s="23"/>
    </row>
    <row r="27" spans="2:12" x14ac:dyDescent="0.15">
      <c r="C27" s="43" t="s">
        <v>191</v>
      </c>
      <c r="D27" s="9"/>
      <c r="E27" s="9"/>
      <c r="F27" s="66">
        <f>F24*F25</f>
        <v>22.498106423184215</v>
      </c>
      <c r="G27" s="48" t="s">
        <v>192</v>
      </c>
      <c r="H27" s="10"/>
      <c r="L27" s="23"/>
    </row>
    <row r="29" spans="2:12" s="82" customFormat="1" ht="22.5" customHeight="1" x14ac:dyDescent="0.15">
      <c r="B29" s="123" t="s">
        <v>213</v>
      </c>
    </row>
    <row r="31" spans="2:12" x14ac:dyDescent="0.15">
      <c r="B31" s="67" t="s">
        <v>330</v>
      </c>
    </row>
    <row r="32" spans="2:12" x14ac:dyDescent="0.15">
      <c r="B32" s="103"/>
      <c r="D32" s="7" t="s">
        <v>253</v>
      </c>
      <c r="E32" s="7" t="s">
        <v>11</v>
      </c>
      <c r="F32" s="7" t="s">
        <v>254</v>
      </c>
    </row>
    <row r="33" spans="2:8" x14ac:dyDescent="0.15">
      <c r="D33" s="44" t="s">
        <v>14</v>
      </c>
      <c r="E33" s="44" t="s">
        <v>12</v>
      </c>
      <c r="F33" s="44" t="s">
        <v>14</v>
      </c>
    </row>
    <row r="34" spans="2:8" x14ac:dyDescent="0.15">
      <c r="C34" s="41" t="s">
        <v>42</v>
      </c>
      <c r="D34" s="45">
        <f>D21</f>
        <v>0.41</v>
      </c>
      <c r="E34" s="45">
        <f>IF(B12="R", K12, 0)</f>
        <v>1</v>
      </c>
      <c r="F34" s="45">
        <f>D34*E34</f>
        <v>0.41</v>
      </c>
    </row>
    <row r="35" spans="2:8" x14ac:dyDescent="0.15">
      <c r="F35" s="4"/>
    </row>
    <row r="36" spans="2:8" x14ac:dyDescent="0.15">
      <c r="C36" s="42" t="s">
        <v>87</v>
      </c>
      <c r="D36" s="15"/>
      <c r="E36" s="15"/>
      <c r="F36" s="46">
        <f>SUM(F34:F34)</f>
        <v>0.41</v>
      </c>
      <c r="G36" s="44" t="str">
        <f>G23</f>
        <v>cf/h</v>
      </c>
      <c r="H36" s="10"/>
    </row>
    <row r="37" spans="2:8" x14ac:dyDescent="0.15">
      <c r="C37" s="42" t="s">
        <v>87</v>
      </c>
      <c r="D37" s="15"/>
      <c r="E37" s="15"/>
      <c r="F37" s="46">
        <f>F36*Number_Hours*Number_Days/1000</f>
        <v>3.5916000000000001</v>
      </c>
      <c r="G37" s="44" t="s">
        <v>41</v>
      </c>
      <c r="H37" s="10"/>
    </row>
    <row r="38" spans="2:8" x14ac:dyDescent="0.15">
      <c r="C38" s="42" t="s">
        <v>191</v>
      </c>
      <c r="D38" s="9"/>
      <c r="E38" s="9"/>
      <c r="F38" s="50">
        <f>F37*F25</f>
        <v>6.0065270778833939E-2</v>
      </c>
      <c r="G38" s="44" t="s">
        <v>135</v>
      </c>
      <c r="H38" s="10"/>
    </row>
    <row r="41" spans="2:8" s="82" customFormat="1" ht="22.5" customHeight="1" x14ac:dyDescent="0.15">
      <c r="B41" s="123" t="s">
        <v>224</v>
      </c>
    </row>
    <row r="43" spans="2:8" x14ac:dyDescent="0.15">
      <c r="B43" s="16" t="s">
        <v>215</v>
      </c>
    </row>
    <row r="44" spans="2:8" x14ac:dyDescent="0.15">
      <c r="D44" s="7" t="s">
        <v>11</v>
      </c>
      <c r="E44" s="7" t="s">
        <v>256</v>
      </c>
      <c r="F44" s="7" t="s">
        <v>257</v>
      </c>
    </row>
    <row r="45" spans="2:8" x14ac:dyDescent="0.15">
      <c r="C45" s="41" t="s">
        <v>13</v>
      </c>
      <c r="D45" s="44" t="s">
        <v>12</v>
      </c>
      <c r="E45" s="44" t="s">
        <v>109</v>
      </c>
      <c r="F45" s="44" t="s">
        <v>109</v>
      </c>
    </row>
    <row r="46" spans="2:8" x14ac:dyDescent="0.15">
      <c r="C46" s="41" t="s">
        <v>94</v>
      </c>
      <c r="D46" s="53">
        <f>E18</f>
        <v>10</v>
      </c>
      <c r="E46" s="45">
        <f>ASSUMPTIONS!C43</f>
        <v>0.08</v>
      </c>
      <c r="F46" s="45">
        <f>D46*E46</f>
        <v>0.8</v>
      </c>
    </row>
    <row r="47" spans="2:8" x14ac:dyDescent="0.15">
      <c r="C47" s="41" t="s">
        <v>95</v>
      </c>
      <c r="D47" s="53">
        <f>E19</f>
        <v>2</v>
      </c>
      <c r="E47" s="45">
        <f>ASSUMPTIONS!C44</f>
        <v>0.08</v>
      </c>
      <c r="F47" s="45">
        <f>D47*E47</f>
        <v>0.16</v>
      </c>
    </row>
    <row r="48" spans="2:8" x14ac:dyDescent="0.15">
      <c r="C48" s="41" t="s">
        <v>0</v>
      </c>
      <c r="D48" s="53">
        <f>E20</f>
        <v>0</v>
      </c>
      <c r="E48" s="45">
        <f>ASSUMPTIONS!C46</f>
        <v>0.4</v>
      </c>
      <c r="F48" s="45">
        <f>D48*E48</f>
        <v>0</v>
      </c>
    </row>
    <row r="49" spans="2:6" x14ac:dyDescent="0.15">
      <c r="B49" s="103"/>
      <c r="C49" s="41" t="s">
        <v>42</v>
      </c>
      <c r="D49" s="117">
        <f>IF(B12="N", ROUNDUP(SUM(E18:E19)/9, 0), 0)</f>
        <v>0</v>
      </c>
      <c r="E49" s="45">
        <f>ASSUMPTIONS!C47</f>
        <v>0.16</v>
      </c>
      <c r="F49" s="45">
        <f>D49*E49</f>
        <v>0</v>
      </c>
    </row>
    <row r="50" spans="2:6" x14ac:dyDescent="0.15">
      <c r="B50" s="103"/>
      <c r="C50" s="41" t="s">
        <v>110</v>
      </c>
      <c r="D50" s="53">
        <v>1</v>
      </c>
      <c r="E50" s="45">
        <f>ASSUMPTIONS!C48</f>
        <v>0.28999999999999998</v>
      </c>
      <c r="F50" s="45">
        <f>D50*E50</f>
        <v>0.28999999999999998</v>
      </c>
    </row>
    <row r="51" spans="2:6" x14ac:dyDescent="0.15">
      <c r="C51" s="43" t="s">
        <v>49</v>
      </c>
      <c r="D51" s="15"/>
      <c r="E51" s="15"/>
      <c r="F51" s="51">
        <f>SUM(F46:F50)</f>
        <v>1.25</v>
      </c>
    </row>
    <row r="53" spans="2:6" x14ac:dyDescent="0.15">
      <c r="C53" s="2" t="s">
        <v>272</v>
      </c>
    </row>
    <row r="54" spans="2:6" x14ac:dyDescent="0.15">
      <c r="C54" s="41" t="str">
        <f>ASSUMPTIONS!B53</f>
        <v>System Voltage (Electric Controllers)</v>
      </c>
      <c r="D54" s="53">
        <f>ASSUMPTIONS!C53</f>
        <v>12</v>
      </c>
      <c r="E54" s="44" t="str">
        <f>ASSUMPTIONS!D53</f>
        <v>V</v>
      </c>
    </row>
    <row r="55" spans="2:6" x14ac:dyDescent="0.15">
      <c r="C55" s="41" t="str">
        <f>ASSUMPTIONS!B55</f>
        <v>Battery Average Efficiency</v>
      </c>
      <c r="D55" s="52">
        <f>ASSUMPTIONS!C55</f>
        <v>0.85</v>
      </c>
      <c r="E55" s="44" t="str">
        <f>ASSUMPTIONS!D55</f>
        <v>%</v>
      </c>
    </row>
    <row r="56" spans="2:6" x14ac:dyDescent="0.15">
      <c r="C56" s="41" t="str">
        <f>ASSUMPTIONS!B56</f>
        <v>Avg. Peak Sun</v>
      </c>
      <c r="D56" s="53">
        <f>ASSUMPTIONS!C56</f>
        <v>4</v>
      </c>
      <c r="E56" s="44" t="str">
        <f>ASSUMPTIONS!D56</f>
        <v>h/days</v>
      </c>
    </row>
    <row r="57" spans="2:6" x14ac:dyDescent="0.15">
      <c r="C57" s="41" t="str">
        <f>ASSUMPTIONS!B57</f>
        <v>At Maximum Depth of Discharge</v>
      </c>
      <c r="D57" s="52">
        <f>ASSUMPTIONS!C57</f>
        <v>0.8</v>
      </c>
      <c r="E57" s="44" t="str">
        <f>ASSUMPTIONS!D57</f>
        <v>%</v>
      </c>
    </row>
    <row r="58" spans="2:6" x14ac:dyDescent="0.15">
      <c r="C58" s="41" t="str">
        <f>ASSUMPTIONS!B58</f>
        <v>Days of Energy Storage (Electric Controllers)</v>
      </c>
      <c r="D58" s="53">
        <f>ASSUMPTIONS!C58</f>
        <v>10</v>
      </c>
      <c r="E58" s="44" t="str">
        <f>ASSUMPTIONS!D58</f>
        <v>days</v>
      </c>
    </row>
    <row r="59" spans="2:6" x14ac:dyDescent="0.15">
      <c r="C59" s="41" t="str">
        <f>ASSUMPTIONS!B60</f>
        <v>Rating of the solar panel (Electric Controllers)</v>
      </c>
      <c r="D59" s="53">
        <f>ASSUMPTIONS!C60</f>
        <v>140</v>
      </c>
      <c r="E59" s="44" t="str">
        <f>ASSUMPTIONS!D60</f>
        <v>W</v>
      </c>
    </row>
    <row r="60" spans="2:6" x14ac:dyDescent="0.15">
      <c r="C60" s="41" t="str">
        <f>ASSUMPTIONS!B65</f>
        <v>Rating of the battery (Electric Controllers)</v>
      </c>
      <c r="D60" s="53">
        <f>ASSUMPTIONS!C65</f>
        <v>100</v>
      </c>
      <c r="E60" s="44" t="str">
        <f>ASSUMPTIONS!D65</f>
        <v>Ah</v>
      </c>
    </row>
    <row r="62" spans="2:6" x14ac:dyDescent="0.15">
      <c r="C62" s="2" t="s">
        <v>273</v>
      </c>
    </row>
    <row r="63" spans="2:6" x14ac:dyDescent="0.15">
      <c r="C63" s="41" t="s">
        <v>111</v>
      </c>
      <c r="D63" s="53">
        <f>F51*D173*Number_Hours</f>
        <v>720</v>
      </c>
      <c r="E63" s="44" t="s">
        <v>119</v>
      </c>
    </row>
    <row r="64" spans="2:6" x14ac:dyDescent="0.15">
      <c r="C64" s="41" t="s">
        <v>113</v>
      </c>
      <c r="D64" s="53">
        <f>D63/D174</f>
        <v>847.05882352941182</v>
      </c>
      <c r="E64" s="44" t="s">
        <v>119</v>
      </c>
    </row>
    <row r="65" spans="2:10" x14ac:dyDescent="0.15">
      <c r="C65" s="41" t="s">
        <v>114</v>
      </c>
      <c r="D65" s="53">
        <f>(D64/D175)*(1+ASSUMPTIONS!$C$68)</f>
        <v>317.64705882352945</v>
      </c>
      <c r="E65" s="44" t="s">
        <v>7</v>
      </c>
    </row>
    <row r="66" spans="2:10" x14ac:dyDescent="0.15">
      <c r="B66" s="103"/>
      <c r="C66" s="41" t="s">
        <v>115</v>
      </c>
      <c r="D66" s="109">
        <f>(F51*Number_Hours*D58/D57)*(1+VLOOKUP(E12,ASSUMPTIONS!A62:C64,3,FALSE))</f>
        <v>506.25000000000006</v>
      </c>
      <c r="E66" s="44" t="s">
        <v>106</v>
      </c>
    </row>
    <row r="67" spans="2:10" x14ac:dyDescent="0.15">
      <c r="C67" s="41" t="s">
        <v>120</v>
      </c>
      <c r="D67" s="53">
        <f>IF(C12="E",D63*Number_Days/1000,0)</f>
        <v>0</v>
      </c>
      <c r="E67" s="44" t="s">
        <v>123</v>
      </c>
    </row>
    <row r="70" spans="2:10" x14ac:dyDescent="0.15">
      <c r="B70" s="16" t="s">
        <v>51</v>
      </c>
    </row>
    <row r="71" spans="2:10" x14ac:dyDescent="0.15">
      <c r="D71" s="7" t="s">
        <v>46</v>
      </c>
      <c r="E71" s="7" t="s">
        <v>258</v>
      </c>
      <c r="F71" s="7" t="s">
        <v>49</v>
      </c>
    </row>
    <row r="72" spans="2:10" x14ac:dyDescent="0.15">
      <c r="D72" s="44" t="s">
        <v>47</v>
      </c>
      <c r="E72" s="44" t="s">
        <v>12</v>
      </c>
      <c r="F72" s="44" t="s">
        <v>43</v>
      </c>
    </row>
    <row r="73" spans="2:10" x14ac:dyDescent="0.15">
      <c r="C73" s="41" t="s">
        <v>94</v>
      </c>
      <c r="D73" s="53">
        <f>IF(B12="R", IF(G12="N", ASSUMPTIONS!C104, ASSUMPTIONS!C102), ASSUMPTIONS!C102)</f>
        <v>4000</v>
      </c>
      <c r="E73" s="53">
        <f>D46</f>
        <v>10</v>
      </c>
      <c r="F73" s="54">
        <f>D73*E73</f>
        <v>40000</v>
      </c>
    </row>
    <row r="74" spans="2:10" x14ac:dyDescent="0.15">
      <c r="C74" s="41" t="s">
        <v>95</v>
      </c>
      <c r="D74" s="53">
        <f>IF(B12="R", IF(G12="N", ASSUMPTIONS!C104, ASSUMPTIONS!C102), ASSUMPTIONS!C102)</f>
        <v>4000</v>
      </c>
      <c r="E74" s="53">
        <f>D47</f>
        <v>2</v>
      </c>
      <c r="F74" s="54">
        <f t="shared" ref="F74:F79" si="0">D74*E74</f>
        <v>8000</v>
      </c>
    </row>
    <row r="75" spans="2:10" x14ac:dyDescent="0.15">
      <c r="C75" s="41" t="s">
        <v>44</v>
      </c>
      <c r="D75" s="53">
        <f>ASSUMPTIONS!C107</f>
        <v>6000</v>
      </c>
      <c r="E75" s="53">
        <f>D48</f>
        <v>0</v>
      </c>
      <c r="F75" s="54">
        <f t="shared" si="0"/>
        <v>0</v>
      </c>
    </row>
    <row r="76" spans="2:10" x14ac:dyDescent="0.15">
      <c r="B76" s="13"/>
      <c r="C76" s="41" t="s">
        <v>90</v>
      </c>
      <c r="D76" s="53">
        <f>ASSUMPTIONS!C108</f>
        <v>4000</v>
      </c>
      <c r="E76" s="53">
        <v>1</v>
      </c>
      <c r="F76" s="54">
        <f>D76*E76</f>
        <v>4000</v>
      </c>
    </row>
    <row r="77" spans="2:10" x14ac:dyDescent="0.15">
      <c r="B77" s="13"/>
      <c r="C77" s="41" t="s">
        <v>289</v>
      </c>
      <c r="D77" s="53">
        <f>ASSUMPTIONS!C118</f>
        <v>20000</v>
      </c>
      <c r="E77" s="53">
        <f>IF(F12="Y", 1, 0)</f>
        <v>0</v>
      </c>
      <c r="F77" s="54">
        <f>D77*E77</f>
        <v>0</v>
      </c>
    </row>
    <row r="78" spans="2:10" x14ac:dyDescent="0.15">
      <c r="B78" s="13"/>
      <c r="C78" s="41" t="s">
        <v>259</v>
      </c>
      <c r="D78" s="53">
        <f>IF(C12="NE",ASSUMPTIONS!C114,0)</f>
        <v>400</v>
      </c>
      <c r="E78" s="53">
        <f>ROUNDUP(D65/D59,0)</f>
        <v>3</v>
      </c>
      <c r="F78" s="54">
        <f t="shared" si="0"/>
        <v>1200</v>
      </c>
      <c r="H78" s="100">
        <f>IF(AND(D78&gt;0,OR(E78&gt;ASSUMPTIONS!C67,E79&gt;ASSUMPTIONS!C70)),1,0)</f>
        <v>0</v>
      </c>
      <c r="I78" s="96"/>
      <c r="J78" s="96">
        <f>D78*3+D79*8</f>
        <v>2800</v>
      </c>
    </row>
    <row r="79" spans="2:10" x14ac:dyDescent="0.15">
      <c r="B79" s="13"/>
      <c r="C79" s="41" t="s">
        <v>260</v>
      </c>
      <c r="D79" s="53">
        <f>IF(C12="NE",ASSUMPTIONS!C115,0)</f>
        <v>200</v>
      </c>
      <c r="E79" s="53">
        <f>ROUNDUP(D66/D60,0)</f>
        <v>6</v>
      </c>
      <c r="F79" s="54">
        <f t="shared" si="0"/>
        <v>1200</v>
      </c>
    </row>
    <row r="80" spans="2:10" x14ac:dyDescent="0.15">
      <c r="B80" s="13"/>
      <c r="C80" s="41" t="s">
        <v>307</v>
      </c>
      <c r="D80" s="53">
        <f>IF(B12="N", ASSUMPTIONS!C119, 0)</f>
        <v>0</v>
      </c>
      <c r="E80" s="109">
        <f>D49</f>
        <v>0</v>
      </c>
      <c r="F80" s="54">
        <f>D80*E80</f>
        <v>0</v>
      </c>
    </row>
    <row r="81" spans="2:22" x14ac:dyDescent="0.15">
      <c r="B81" s="40" t="str">
        <f>"Days of Work"&amp;" - "&amp;$B$12</f>
        <v>Days of Work - R</v>
      </c>
      <c r="C81" s="41" t="s">
        <v>302</v>
      </c>
      <c r="D81" s="53">
        <f>ASSUMPTIONS!C109*ASSUMPTIONS!C16*VLOOKUP(CALCULATION!B81,ASSUMPTIONS!$A$110:$C$111,3,FALSE)</f>
        <v>450</v>
      </c>
      <c r="E81" s="107">
        <f>IF(B12="N", SUM(E73:E74,E80), SUM(E73:E74))</f>
        <v>12</v>
      </c>
      <c r="F81" s="54">
        <f>(D81*E81)+L12*ASSUMPTIONS!C109</f>
        <v>6000</v>
      </c>
      <c r="G81" s="98"/>
    </row>
    <row r="82" spans="2:22" x14ac:dyDescent="0.15">
      <c r="C82" s="43" t="s">
        <v>164</v>
      </c>
      <c r="F82" s="60">
        <f>SUM(F73:F81)</f>
        <v>60400</v>
      </c>
      <c r="G82" s="27"/>
    </row>
    <row r="83" spans="2:22" ht="32.25" customHeight="1" x14ac:dyDescent="0.15">
      <c r="G83" s="97" t="s">
        <v>262</v>
      </c>
    </row>
    <row r="84" spans="2:22" x14ac:dyDescent="0.15">
      <c r="F84" s="11"/>
    </row>
    <row r="85" spans="2:22" x14ac:dyDescent="0.15">
      <c r="B85" s="16" t="s">
        <v>52</v>
      </c>
      <c r="D85" s="7" t="s">
        <v>46</v>
      </c>
      <c r="E85" s="7" t="s">
        <v>55</v>
      </c>
      <c r="F85" s="11"/>
      <c r="G85" s="99">
        <v>0</v>
      </c>
      <c r="H85" s="99">
        <v>1</v>
      </c>
      <c r="I85" s="99">
        <v>2</v>
      </c>
      <c r="J85" s="99">
        <v>3</v>
      </c>
      <c r="K85" s="99">
        <v>4</v>
      </c>
      <c r="L85" s="99">
        <v>5</v>
      </c>
      <c r="M85" s="99">
        <v>6</v>
      </c>
      <c r="N85" s="99">
        <v>7</v>
      </c>
      <c r="O85" s="99">
        <v>8</v>
      </c>
      <c r="P85" s="99">
        <v>9</v>
      </c>
      <c r="Q85" s="99">
        <v>10</v>
      </c>
      <c r="R85" s="99">
        <v>11</v>
      </c>
      <c r="S85" s="99">
        <v>12</v>
      </c>
      <c r="T85" s="99">
        <v>13</v>
      </c>
      <c r="U85" s="99">
        <v>14</v>
      </c>
      <c r="V85" s="99">
        <v>15</v>
      </c>
    </row>
    <row r="86" spans="2:22" x14ac:dyDescent="0.15">
      <c r="D86" s="56" t="s">
        <v>45</v>
      </c>
      <c r="E86" s="65" t="s">
        <v>265</v>
      </c>
      <c r="F86" s="11"/>
      <c r="G86" s="44" t="s">
        <v>43</v>
      </c>
      <c r="H86" s="44" t="s">
        <v>43</v>
      </c>
      <c r="I86" s="44" t="s">
        <v>43</v>
      </c>
      <c r="J86" s="44" t="s">
        <v>43</v>
      </c>
      <c r="K86" s="44" t="s">
        <v>43</v>
      </c>
      <c r="L86" s="44" t="s">
        <v>43</v>
      </c>
      <c r="M86" s="44" t="s">
        <v>43</v>
      </c>
      <c r="N86" s="44" t="s">
        <v>43</v>
      </c>
      <c r="O86" s="44" t="s">
        <v>43</v>
      </c>
      <c r="P86" s="44" t="s">
        <v>43</v>
      </c>
      <c r="Q86" s="44" t="s">
        <v>43</v>
      </c>
      <c r="R86" s="44" t="s">
        <v>43</v>
      </c>
      <c r="S86" s="44" t="s">
        <v>43</v>
      </c>
      <c r="T86" s="44" t="s">
        <v>43</v>
      </c>
      <c r="U86" s="44" t="s">
        <v>43</v>
      </c>
      <c r="V86" s="44" t="s">
        <v>43</v>
      </c>
    </row>
    <row r="87" spans="2:22" x14ac:dyDescent="0.15">
      <c r="B87" s="13"/>
      <c r="C87" s="41" t="s">
        <v>53</v>
      </c>
      <c r="D87" s="57">
        <f>F79</f>
        <v>1200</v>
      </c>
      <c r="E87" s="54">
        <f>ASSUMPTIONS!C50</f>
        <v>4</v>
      </c>
      <c r="F87" s="11"/>
      <c r="G87" s="53">
        <v>0</v>
      </c>
      <c r="H87" s="53">
        <f>IF(H$85/$E87=ROUNDDOWN(H$85/$E87,0),$D87,0)</f>
        <v>0</v>
      </c>
      <c r="I87" s="53">
        <f t="shared" ref="I87:V88" si="1">IF(I$85/$E87=ROUNDDOWN(I$85/$E87,0),$D87,0)</f>
        <v>0</v>
      </c>
      <c r="J87" s="53">
        <f t="shared" si="1"/>
        <v>0</v>
      </c>
      <c r="K87" s="53">
        <f t="shared" si="1"/>
        <v>1200</v>
      </c>
      <c r="L87" s="53">
        <f t="shared" si="1"/>
        <v>0</v>
      </c>
      <c r="M87" s="53">
        <f t="shared" si="1"/>
        <v>0</v>
      </c>
      <c r="N87" s="53">
        <f t="shared" si="1"/>
        <v>0</v>
      </c>
      <c r="O87" s="53">
        <f t="shared" si="1"/>
        <v>1200</v>
      </c>
      <c r="P87" s="53">
        <f t="shared" si="1"/>
        <v>0</v>
      </c>
      <c r="Q87" s="53">
        <f t="shared" si="1"/>
        <v>0</v>
      </c>
      <c r="R87" s="53">
        <f t="shared" si="1"/>
        <v>0</v>
      </c>
      <c r="S87" s="53">
        <f t="shared" si="1"/>
        <v>1200</v>
      </c>
      <c r="T87" s="53">
        <f t="shared" si="1"/>
        <v>0</v>
      </c>
      <c r="U87" s="53">
        <f t="shared" si="1"/>
        <v>0</v>
      </c>
      <c r="V87" s="53">
        <f t="shared" si="1"/>
        <v>0</v>
      </c>
    </row>
    <row r="88" spans="2:22" x14ac:dyDescent="0.15">
      <c r="B88" s="13"/>
      <c r="C88" s="41" t="s">
        <v>54</v>
      </c>
      <c r="D88" s="57">
        <f>F78</f>
        <v>1200</v>
      </c>
      <c r="E88" s="54">
        <f>ASSUMPTIONS!C52</f>
        <v>10</v>
      </c>
      <c r="F88" s="11"/>
      <c r="G88" s="53"/>
      <c r="H88" s="53">
        <f>IF(H$85/$E88=ROUNDDOWN(H$85/$E88,0),$D88,0)</f>
        <v>0</v>
      </c>
      <c r="I88" s="53">
        <f t="shared" si="1"/>
        <v>0</v>
      </c>
      <c r="J88" s="53">
        <f t="shared" si="1"/>
        <v>0</v>
      </c>
      <c r="K88" s="53">
        <f t="shared" si="1"/>
        <v>0</v>
      </c>
      <c r="L88" s="53">
        <f t="shared" si="1"/>
        <v>0</v>
      </c>
      <c r="M88" s="53">
        <f t="shared" si="1"/>
        <v>0</v>
      </c>
      <c r="N88" s="53">
        <f t="shared" si="1"/>
        <v>0</v>
      </c>
      <c r="O88" s="53">
        <f t="shared" si="1"/>
        <v>0</v>
      </c>
      <c r="P88" s="53">
        <f t="shared" si="1"/>
        <v>0</v>
      </c>
      <c r="Q88" s="53">
        <f t="shared" si="1"/>
        <v>1200</v>
      </c>
      <c r="R88" s="53">
        <f t="shared" si="1"/>
        <v>0</v>
      </c>
      <c r="S88" s="53">
        <f t="shared" si="1"/>
        <v>0</v>
      </c>
      <c r="T88" s="53">
        <f t="shared" si="1"/>
        <v>0</v>
      </c>
      <c r="U88" s="53">
        <f t="shared" si="1"/>
        <v>0</v>
      </c>
      <c r="V88" s="53">
        <f t="shared" si="1"/>
        <v>0</v>
      </c>
    </row>
    <row r="89" spans="2:22" x14ac:dyDescent="0.15">
      <c r="B89" s="13"/>
      <c r="C89" s="41" t="s">
        <v>68</v>
      </c>
      <c r="D89" s="58">
        <f>D67*ASSUMPTIONS!C120</f>
        <v>0</v>
      </c>
      <c r="E89" s="54">
        <v>1</v>
      </c>
      <c r="F89" s="11"/>
      <c r="G89" s="53">
        <f>$D$89</f>
        <v>0</v>
      </c>
      <c r="H89" s="53">
        <f>$D$89</f>
        <v>0</v>
      </c>
      <c r="I89" s="53">
        <f t="shared" ref="I89:V89" si="2">$D$89</f>
        <v>0</v>
      </c>
      <c r="J89" s="53">
        <f t="shared" si="2"/>
        <v>0</v>
      </c>
      <c r="K89" s="53">
        <f t="shared" si="2"/>
        <v>0</v>
      </c>
      <c r="L89" s="53">
        <f t="shared" si="2"/>
        <v>0</v>
      </c>
      <c r="M89" s="53">
        <f t="shared" si="2"/>
        <v>0</v>
      </c>
      <c r="N89" s="53">
        <f t="shared" si="2"/>
        <v>0</v>
      </c>
      <c r="O89" s="53">
        <f t="shared" si="2"/>
        <v>0</v>
      </c>
      <c r="P89" s="53">
        <f t="shared" si="2"/>
        <v>0</v>
      </c>
      <c r="Q89" s="53">
        <f t="shared" si="2"/>
        <v>0</v>
      </c>
      <c r="R89" s="53">
        <f t="shared" si="2"/>
        <v>0</v>
      </c>
      <c r="S89" s="53">
        <f t="shared" si="2"/>
        <v>0</v>
      </c>
      <c r="T89" s="53">
        <f t="shared" si="2"/>
        <v>0</v>
      </c>
      <c r="U89" s="53">
        <f t="shared" si="2"/>
        <v>0</v>
      </c>
      <c r="V89" s="53">
        <f t="shared" si="2"/>
        <v>0</v>
      </c>
    </row>
    <row r="90" spans="2:22" x14ac:dyDescent="0.15">
      <c r="B90" s="105"/>
      <c r="C90" s="41" t="s">
        <v>331</v>
      </c>
      <c r="D90" s="57">
        <f>ASSUMPTIONS!C112*SUM(E73:E75)</f>
        <v>960</v>
      </c>
      <c r="E90" s="54">
        <v>1</v>
      </c>
      <c r="F90" s="11"/>
      <c r="G90" s="53"/>
      <c r="H90" s="53">
        <f>$D$90</f>
        <v>960</v>
      </c>
      <c r="I90" s="53">
        <f t="shared" ref="I90:V90" si="3">$D$90</f>
        <v>960</v>
      </c>
      <c r="J90" s="53">
        <f t="shared" si="3"/>
        <v>960</v>
      </c>
      <c r="K90" s="53">
        <f t="shared" si="3"/>
        <v>960</v>
      </c>
      <c r="L90" s="53">
        <f t="shared" si="3"/>
        <v>960</v>
      </c>
      <c r="M90" s="53">
        <f t="shared" si="3"/>
        <v>960</v>
      </c>
      <c r="N90" s="53">
        <f t="shared" si="3"/>
        <v>960</v>
      </c>
      <c r="O90" s="53">
        <f t="shared" si="3"/>
        <v>960</v>
      </c>
      <c r="P90" s="53">
        <f t="shared" si="3"/>
        <v>960</v>
      </c>
      <c r="Q90" s="53">
        <f t="shared" si="3"/>
        <v>960</v>
      </c>
      <c r="R90" s="53">
        <f t="shared" si="3"/>
        <v>960</v>
      </c>
      <c r="S90" s="53">
        <f t="shared" si="3"/>
        <v>960</v>
      </c>
      <c r="T90" s="53">
        <f t="shared" si="3"/>
        <v>960</v>
      </c>
      <c r="U90" s="53">
        <f t="shared" si="3"/>
        <v>960</v>
      </c>
      <c r="V90" s="53">
        <f t="shared" si="3"/>
        <v>960</v>
      </c>
    </row>
    <row r="91" spans="2:22" x14ac:dyDescent="0.15">
      <c r="C91" s="43" t="s">
        <v>57</v>
      </c>
      <c r="F91" s="11"/>
      <c r="G91" s="47">
        <f>SUM(G87:G90)</f>
        <v>0</v>
      </c>
      <c r="H91" s="47">
        <f t="shared" ref="H91:V91" si="4">SUM(H87:H90)</f>
        <v>960</v>
      </c>
      <c r="I91" s="47">
        <f t="shared" si="4"/>
        <v>960</v>
      </c>
      <c r="J91" s="47">
        <f t="shared" si="4"/>
        <v>960</v>
      </c>
      <c r="K91" s="47">
        <f t="shared" si="4"/>
        <v>2160</v>
      </c>
      <c r="L91" s="47">
        <f t="shared" si="4"/>
        <v>960</v>
      </c>
      <c r="M91" s="47">
        <f t="shared" si="4"/>
        <v>960</v>
      </c>
      <c r="N91" s="47">
        <f t="shared" si="4"/>
        <v>960</v>
      </c>
      <c r="O91" s="47">
        <f t="shared" si="4"/>
        <v>2160</v>
      </c>
      <c r="P91" s="47">
        <f t="shared" si="4"/>
        <v>960</v>
      </c>
      <c r="Q91" s="47">
        <f t="shared" si="4"/>
        <v>2160</v>
      </c>
      <c r="R91" s="47">
        <f t="shared" si="4"/>
        <v>960</v>
      </c>
      <c r="S91" s="47">
        <f t="shared" si="4"/>
        <v>2160</v>
      </c>
      <c r="T91" s="47">
        <f t="shared" si="4"/>
        <v>960</v>
      </c>
      <c r="U91" s="47">
        <f t="shared" si="4"/>
        <v>960</v>
      </c>
      <c r="V91" s="47">
        <f t="shared" si="4"/>
        <v>960</v>
      </c>
    </row>
    <row r="94" spans="2:22" s="82" customFormat="1" ht="22.5" customHeight="1" x14ac:dyDescent="0.15">
      <c r="B94" s="123" t="s">
        <v>58</v>
      </c>
    </row>
    <row r="96" spans="2:22" x14ac:dyDescent="0.15">
      <c r="B96" s="16" t="s">
        <v>261</v>
      </c>
      <c r="D96" s="7" t="s">
        <v>46</v>
      </c>
      <c r="E96" s="7" t="s">
        <v>48</v>
      </c>
      <c r="F96" s="7" t="s">
        <v>49</v>
      </c>
    </row>
    <row r="97" spans="2:7" x14ac:dyDescent="0.15">
      <c r="B97" s="16"/>
      <c r="C97" s="16"/>
      <c r="D97" s="44" t="s">
        <v>47</v>
      </c>
      <c r="E97" s="44" t="s">
        <v>12</v>
      </c>
      <c r="F97" s="44" t="s">
        <v>43</v>
      </c>
    </row>
    <row r="98" spans="2:7" x14ac:dyDescent="0.15">
      <c r="C98" s="41" t="s">
        <v>94</v>
      </c>
      <c r="D98" s="54">
        <f>IF($B$12="N",ASSUMPTIONS!C122,0)</f>
        <v>0</v>
      </c>
      <c r="E98" s="53">
        <f>D46</f>
        <v>10</v>
      </c>
      <c r="F98" s="54">
        <f>D98*E98</f>
        <v>0</v>
      </c>
    </row>
    <row r="99" spans="2:7" x14ac:dyDescent="0.15">
      <c r="C99" s="41" t="s">
        <v>95</v>
      </c>
      <c r="D99" s="54">
        <f>IF($B$12="N",ASSUMPTIONS!C123,0)</f>
        <v>0</v>
      </c>
      <c r="E99" s="53">
        <f>D47</f>
        <v>2</v>
      </c>
      <c r="F99" s="54">
        <f t="shared" ref="F99:F103" si="5">D99*E99</f>
        <v>0</v>
      </c>
    </row>
    <row r="100" spans="2:7" x14ac:dyDescent="0.15">
      <c r="B100" s="103"/>
      <c r="C100" s="41" t="s">
        <v>44</v>
      </c>
      <c r="D100" s="108">
        <f>IF($B$12="N",ASSUMPTIONS!C124,0)</f>
        <v>0</v>
      </c>
      <c r="E100" s="53">
        <f>D48</f>
        <v>0</v>
      </c>
      <c r="F100" s="54">
        <f t="shared" si="5"/>
        <v>0</v>
      </c>
    </row>
    <row r="101" spans="2:7" x14ac:dyDescent="0.15">
      <c r="C101" s="41" t="s">
        <v>42</v>
      </c>
      <c r="D101" s="54">
        <f>IF($B$12="N",ASSUMPTIONS!C125,0)</f>
        <v>0</v>
      </c>
      <c r="E101" s="53">
        <f>K12</f>
        <v>1</v>
      </c>
      <c r="F101" s="54">
        <f t="shared" si="5"/>
        <v>0</v>
      </c>
    </row>
    <row r="102" spans="2:7" x14ac:dyDescent="0.15">
      <c r="C102" s="41" t="s">
        <v>59</v>
      </c>
      <c r="D102" s="54">
        <f>IF($B$12="N",ASSUMPTIONS!C126,0)</f>
        <v>0</v>
      </c>
      <c r="E102" s="53">
        <f>E98+E99+E101</f>
        <v>13</v>
      </c>
      <c r="F102" s="54">
        <f t="shared" si="5"/>
        <v>0</v>
      </c>
    </row>
    <row r="103" spans="2:7" x14ac:dyDescent="0.15">
      <c r="C103" s="41" t="s">
        <v>60</v>
      </c>
      <c r="D103" s="54">
        <f>IF($B$12="N",ASSUMPTIONS!C127,0)</f>
        <v>0</v>
      </c>
      <c r="E103" s="53">
        <f>E100</f>
        <v>0</v>
      </c>
      <c r="F103" s="54">
        <f t="shared" si="5"/>
        <v>0</v>
      </c>
    </row>
    <row r="104" spans="2:7" x14ac:dyDescent="0.15">
      <c r="C104" s="43" t="s">
        <v>49</v>
      </c>
      <c r="F104" s="60">
        <f>SUM(F98:F103)</f>
        <v>0</v>
      </c>
      <c r="G104" s="27"/>
    </row>
    <row r="106" spans="2:7" x14ac:dyDescent="0.15">
      <c r="D106" s="7" t="s">
        <v>46</v>
      </c>
      <c r="E106" s="7" t="s">
        <v>48</v>
      </c>
      <c r="F106" s="7" t="s">
        <v>49</v>
      </c>
    </row>
    <row r="107" spans="2:7" x14ac:dyDescent="0.15">
      <c r="B107" s="16" t="s">
        <v>52</v>
      </c>
      <c r="D107" s="44" t="s">
        <v>124</v>
      </c>
      <c r="E107" s="44" t="s">
        <v>12</v>
      </c>
      <c r="F107" s="44" t="s">
        <v>43</v>
      </c>
    </row>
    <row r="108" spans="2:7" x14ac:dyDescent="0.15">
      <c r="B108" s="13"/>
      <c r="C108" s="41" t="s">
        <v>61</v>
      </c>
      <c r="D108" s="53">
        <f>ASSUMPTIONS!C128</f>
        <v>200</v>
      </c>
      <c r="E108" s="53">
        <f>IF(D12="W",SUM(CALCULATION!E102:E103),0)</f>
        <v>0</v>
      </c>
      <c r="F108" s="54">
        <f>D108*E108</f>
        <v>0</v>
      </c>
    </row>
    <row r="109" spans="2:7" x14ac:dyDescent="0.15">
      <c r="B109" s="103"/>
      <c r="C109" s="41" t="s">
        <v>62</v>
      </c>
      <c r="D109" s="53">
        <f>ASSUMPTIONS!C129</f>
        <v>80</v>
      </c>
      <c r="E109" s="53">
        <f>IF(D12="D",SUM(CALCULATION!E102:E103),0)</f>
        <v>13</v>
      </c>
      <c r="F109" s="54">
        <f>D109*E109</f>
        <v>1040</v>
      </c>
    </row>
    <row r="110" spans="2:7" x14ac:dyDescent="0.15">
      <c r="C110" s="43" t="s">
        <v>63</v>
      </c>
      <c r="F110" s="60">
        <f>SUM(F108:F109)</f>
        <v>1040</v>
      </c>
    </row>
    <row r="111" spans="2:7" ht="32.25" customHeight="1" x14ac:dyDescent="0.15">
      <c r="G111" s="97" t="s">
        <v>262</v>
      </c>
    </row>
    <row r="113" spans="2:22" x14ac:dyDescent="0.15">
      <c r="G113" s="99">
        <v>0</v>
      </c>
      <c r="H113" s="99">
        <v>1</v>
      </c>
      <c r="I113" s="99">
        <v>2</v>
      </c>
      <c r="J113" s="99">
        <v>3</v>
      </c>
      <c r="K113" s="99">
        <v>4</v>
      </c>
      <c r="L113" s="99">
        <v>5</v>
      </c>
      <c r="M113" s="99">
        <v>6</v>
      </c>
      <c r="N113" s="99">
        <v>7</v>
      </c>
      <c r="O113" s="99">
        <v>8</v>
      </c>
      <c r="P113" s="99">
        <v>9</v>
      </c>
      <c r="Q113" s="99">
        <v>10</v>
      </c>
      <c r="R113" s="99">
        <v>11</v>
      </c>
      <c r="S113" s="99">
        <v>12</v>
      </c>
      <c r="T113" s="99">
        <v>13</v>
      </c>
      <c r="U113" s="99">
        <v>14</v>
      </c>
      <c r="V113" s="99">
        <v>15</v>
      </c>
    </row>
    <row r="114" spans="2:22" x14ac:dyDescent="0.15">
      <c r="G114" s="44" t="s">
        <v>43</v>
      </c>
      <c r="H114" s="44" t="s">
        <v>43</v>
      </c>
      <c r="I114" s="44" t="s">
        <v>43</v>
      </c>
      <c r="J114" s="44" t="s">
        <v>43</v>
      </c>
      <c r="K114" s="44" t="s">
        <v>43</v>
      </c>
      <c r="L114" s="44" t="s">
        <v>43</v>
      </c>
      <c r="M114" s="44" t="s">
        <v>43</v>
      </c>
      <c r="N114" s="44" t="s">
        <v>43</v>
      </c>
      <c r="O114" s="44" t="s">
        <v>43</v>
      </c>
      <c r="P114" s="44" t="s">
        <v>43</v>
      </c>
      <c r="Q114" s="44" t="s">
        <v>43</v>
      </c>
      <c r="R114" s="44" t="s">
        <v>43</v>
      </c>
      <c r="S114" s="44" t="s">
        <v>43</v>
      </c>
      <c r="T114" s="44" t="s">
        <v>43</v>
      </c>
      <c r="U114" s="44" t="s">
        <v>43</v>
      </c>
      <c r="V114" s="44" t="s">
        <v>43</v>
      </c>
    </row>
    <row r="115" spans="2:22" x14ac:dyDescent="0.15">
      <c r="G115" s="54"/>
      <c r="H115" s="54">
        <f t="shared" ref="H115:V115" si="6">$F$110</f>
        <v>1040</v>
      </c>
      <c r="I115" s="54">
        <f t="shared" si="6"/>
        <v>1040</v>
      </c>
      <c r="J115" s="54">
        <f t="shared" si="6"/>
        <v>1040</v>
      </c>
      <c r="K115" s="54">
        <f t="shared" si="6"/>
        <v>1040</v>
      </c>
      <c r="L115" s="54">
        <f t="shared" si="6"/>
        <v>1040</v>
      </c>
      <c r="M115" s="54">
        <f t="shared" si="6"/>
        <v>1040</v>
      </c>
      <c r="N115" s="54">
        <f t="shared" si="6"/>
        <v>1040</v>
      </c>
      <c r="O115" s="54">
        <f t="shared" si="6"/>
        <v>1040</v>
      </c>
      <c r="P115" s="54">
        <f t="shared" si="6"/>
        <v>1040</v>
      </c>
      <c r="Q115" s="54">
        <f t="shared" si="6"/>
        <v>1040</v>
      </c>
      <c r="R115" s="54">
        <f t="shared" si="6"/>
        <v>1040</v>
      </c>
      <c r="S115" s="54">
        <f t="shared" si="6"/>
        <v>1040</v>
      </c>
      <c r="T115" s="54">
        <f t="shared" si="6"/>
        <v>1040</v>
      </c>
      <c r="U115" s="54">
        <f t="shared" si="6"/>
        <v>1040</v>
      </c>
      <c r="V115" s="54">
        <f t="shared" si="6"/>
        <v>1040</v>
      </c>
    </row>
    <row r="118" spans="2:22" s="82" customFormat="1" ht="22.5" customHeight="1" x14ac:dyDescent="0.15">
      <c r="B118" s="123" t="s">
        <v>332</v>
      </c>
    </row>
    <row r="120" spans="2:22" x14ac:dyDescent="0.15">
      <c r="B120" s="16" t="s">
        <v>214</v>
      </c>
    </row>
    <row r="122" spans="2:22" x14ac:dyDescent="0.15">
      <c r="D122" s="7" t="s">
        <v>15</v>
      </c>
      <c r="E122" s="7" t="s">
        <v>13</v>
      </c>
    </row>
    <row r="123" spans="2:22" x14ac:dyDescent="0.15">
      <c r="C123" s="41" t="s">
        <v>125</v>
      </c>
      <c r="D123" s="53">
        <f>F23</f>
        <v>153.57000000000002</v>
      </c>
      <c r="E123" s="44" t="s">
        <v>14</v>
      </c>
      <c r="H123" s="27"/>
      <c r="I123" s="27"/>
      <c r="J123" s="27"/>
    </row>
    <row r="124" spans="2:22" x14ac:dyDescent="0.15">
      <c r="C124" s="41" t="s">
        <v>126</v>
      </c>
      <c r="D124" s="53">
        <f>D123/(1-ASSUMPTIONS!C28)</f>
        <v>185.02409638554221</v>
      </c>
      <c r="E124" s="44" t="s">
        <v>14</v>
      </c>
      <c r="H124" s="27"/>
      <c r="I124" s="27"/>
      <c r="J124" s="27"/>
    </row>
    <row r="125" spans="2:22" x14ac:dyDescent="0.15">
      <c r="C125" s="41" t="s">
        <v>127</v>
      </c>
      <c r="D125" s="53">
        <f>D123*ASSUMPTIONS!C29</f>
        <v>307.14000000000004</v>
      </c>
      <c r="E125" s="44" t="s">
        <v>14</v>
      </c>
      <c r="H125" s="27"/>
      <c r="I125" s="27"/>
      <c r="J125" s="27"/>
    </row>
    <row r="126" spans="2:22" x14ac:dyDescent="0.15">
      <c r="C126" s="41" t="s">
        <v>29</v>
      </c>
      <c r="D126" s="53">
        <f>D125+D124</f>
        <v>492.16409638554228</v>
      </c>
      <c r="E126" s="44" t="s">
        <v>14</v>
      </c>
      <c r="H126" s="27"/>
      <c r="I126" s="27"/>
      <c r="J126" s="27"/>
    </row>
    <row r="127" spans="2:22" x14ac:dyDescent="0.15">
      <c r="C127" s="41" t="s">
        <v>29</v>
      </c>
      <c r="D127" s="53">
        <f>D126/Number_Minutes</f>
        <v>8.2027349397590381</v>
      </c>
      <c r="E127" s="44" t="s">
        <v>193</v>
      </c>
      <c r="H127" s="27"/>
      <c r="I127" s="27"/>
      <c r="J127" s="27"/>
    </row>
    <row r="128" spans="2:22" x14ac:dyDescent="0.15">
      <c r="C128" s="41" t="s">
        <v>194</v>
      </c>
      <c r="D128" s="59">
        <f>D127*ASSUMPTIONS!C30+ASSUMPTIONS!C31</f>
        <v>5.8974740987951808</v>
      </c>
      <c r="E128" s="44" t="s">
        <v>34</v>
      </c>
      <c r="H128" s="28"/>
      <c r="I128" s="28"/>
      <c r="J128" s="28"/>
    </row>
    <row r="129" spans="2:13" x14ac:dyDescent="0.15">
      <c r="C129" s="41" t="s">
        <v>194</v>
      </c>
      <c r="D129" s="53">
        <f>D128*ASSUMPTIONS!C17*1000</f>
        <v>4.3977464354715661</v>
      </c>
      <c r="E129" s="44" t="s">
        <v>39</v>
      </c>
      <c r="H129" s="27"/>
      <c r="I129" s="27"/>
      <c r="J129" s="27"/>
    </row>
    <row r="130" spans="2:13" x14ac:dyDescent="0.15">
      <c r="C130" s="41" t="s">
        <v>40</v>
      </c>
      <c r="D130" s="53">
        <f>D129*ASSUMPTIONS!C32*Number_Hours*Number_Days</f>
        <v>19262.129387365458</v>
      </c>
      <c r="E130" s="44" t="s">
        <v>123</v>
      </c>
      <c r="H130" s="27"/>
      <c r="I130" s="27"/>
      <c r="J130" s="27"/>
    </row>
    <row r="131" spans="2:13" x14ac:dyDescent="0.15">
      <c r="D131" s="29"/>
      <c r="H131" s="27"/>
      <c r="I131" s="27"/>
      <c r="J131" s="27"/>
    </row>
    <row r="133" spans="2:13" x14ac:dyDescent="0.15">
      <c r="B133" s="16" t="s">
        <v>51</v>
      </c>
    </row>
    <row r="135" spans="2:13" x14ac:dyDescent="0.15">
      <c r="D135" s="7" t="s">
        <v>46</v>
      </c>
      <c r="E135" s="7" t="s">
        <v>13</v>
      </c>
      <c r="F135" s="7" t="s">
        <v>48</v>
      </c>
      <c r="G135" s="7" t="s">
        <v>13</v>
      </c>
      <c r="H135" s="7" t="s">
        <v>49</v>
      </c>
    </row>
    <row r="136" spans="2:13" x14ac:dyDescent="0.15">
      <c r="C136" s="41" t="s">
        <v>266</v>
      </c>
      <c r="D136" s="53">
        <f t="shared" ref="D136:D141" si="7">D98</f>
        <v>0</v>
      </c>
      <c r="E136" s="44" t="s">
        <v>47</v>
      </c>
      <c r="F136" s="53">
        <f t="shared" ref="F136:F141" si="8">E98</f>
        <v>10</v>
      </c>
      <c r="G136" s="44" t="s">
        <v>196</v>
      </c>
      <c r="H136" s="54">
        <f>D136*F136</f>
        <v>0</v>
      </c>
    </row>
    <row r="137" spans="2:13" x14ac:dyDescent="0.15">
      <c r="C137" s="41" t="s">
        <v>267</v>
      </c>
      <c r="D137" s="53">
        <f t="shared" si="7"/>
        <v>0</v>
      </c>
      <c r="E137" s="44" t="s">
        <v>47</v>
      </c>
      <c r="F137" s="53">
        <f t="shared" si="8"/>
        <v>2</v>
      </c>
      <c r="G137" s="44" t="s">
        <v>196</v>
      </c>
      <c r="H137" s="54">
        <f>D137*F137</f>
        <v>0</v>
      </c>
    </row>
    <row r="138" spans="2:13" x14ac:dyDescent="0.15">
      <c r="C138" s="41" t="s">
        <v>268</v>
      </c>
      <c r="D138" s="53">
        <f t="shared" si="7"/>
        <v>0</v>
      </c>
      <c r="E138" s="44" t="s">
        <v>47</v>
      </c>
      <c r="F138" s="53">
        <f t="shared" si="8"/>
        <v>0</v>
      </c>
      <c r="G138" s="44" t="s">
        <v>196</v>
      </c>
      <c r="H138" s="54">
        <f>D138*F138</f>
        <v>0</v>
      </c>
    </row>
    <row r="139" spans="2:13" x14ac:dyDescent="0.15">
      <c r="B139" s="103"/>
      <c r="C139" s="41" t="s">
        <v>269</v>
      </c>
      <c r="D139" s="109">
        <f t="shared" si="7"/>
        <v>0</v>
      </c>
      <c r="E139" s="44" t="s">
        <v>47</v>
      </c>
      <c r="F139" s="53">
        <f t="shared" si="8"/>
        <v>1</v>
      </c>
      <c r="G139" s="44" t="s">
        <v>196</v>
      </c>
      <c r="H139" s="54">
        <f t="shared" ref="H139:H141" si="9">D139*F139</f>
        <v>0</v>
      </c>
    </row>
    <row r="140" spans="2:13" ht="13" x14ac:dyDescent="0.15">
      <c r="B140" s="103"/>
      <c r="C140" s="62" t="s">
        <v>270</v>
      </c>
      <c r="D140" s="109">
        <f t="shared" si="7"/>
        <v>0</v>
      </c>
      <c r="E140" s="44" t="s">
        <v>47</v>
      </c>
      <c r="F140" s="53">
        <f t="shared" si="8"/>
        <v>13</v>
      </c>
      <c r="G140" s="44" t="s">
        <v>196</v>
      </c>
      <c r="H140" s="54">
        <f t="shared" si="9"/>
        <v>0</v>
      </c>
    </row>
    <row r="141" spans="2:13" ht="13" x14ac:dyDescent="0.15">
      <c r="C141" s="62" t="s">
        <v>271</v>
      </c>
      <c r="D141" s="109">
        <f t="shared" si="7"/>
        <v>0</v>
      </c>
      <c r="E141" s="44" t="s">
        <v>47</v>
      </c>
      <c r="F141" s="53">
        <f t="shared" si="8"/>
        <v>0</v>
      </c>
      <c r="G141" s="44" t="s">
        <v>196</v>
      </c>
      <c r="H141" s="54">
        <f t="shared" si="9"/>
        <v>0</v>
      </c>
    </row>
    <row r="142" spans="2:13" ht="13" x14ac:dyDescent="0.15">
      <c r="C142" s="62" t="s">
        <v>132</v>
      </c>
      <c r="D142" s="53">
        <f>VLOOKUP(F142,ASSUMPTIONS!A72:C75,3,FALSE)</f>
        <v>32000</v>
      </c>
      <c r="E142" s="44" t="s">
        <v>195</v>
      </c>
      <c r="F142" s="53">
        <f>IF(D128&lt;5,5,IF(D128&lt;10,10,IF(D128&lt;15,15,IF(D128&lt;20,20,"NA"))))</f>
        <v>10</v>
      </c>
      <c r="G142" s="44" t="s">
        <v>34</v>
      </c>
      <c r="H142" s="54">
        <f>D142</f>
        <v>32000</v>
      </c>
      <c r="J142" s="11"/>
      <c r="K142" s="11"/>
      <c r="L142" s="11"/>
      <c r="M142" s="11"/>
    </row>
    <row r="143" spans="2:13" ht="13" x14ac:dyDescent="0.15">
      <c r="B143" s="61" t="str">
        <f>C143&amp;"-"&amp;$B$12</f>
        <v>Other supply-R</v>
      </c>
      <c r="C143" s="62" t="s">
        <v>149</v>
      </c>
      <c r="D143" s="53">
        <f>VLOOKUP(B143,ASSUMPTIONS!A80:C81,3,FALSE)</f>
        <v>1400</v>
      </c>
      <c r="E143" s="44" t="str">
        <f>ASSUMPTIONS!D80</f>
        <v>USD/controller</v>
      </c>
      <c r="F143" s="53">
        <f>F140</f>
        <v>13</v>
      </c>
      <c r="G143" s="44" t="s">
        <v>196</v>
      </c>
      <c r="H143" s="54">
        <f>D143*F143</f>
        <v>18200</v>
      </c>
      <c r="J143" s="11"/>
      <c r="K143" s="11"/>
      <c r="L143" s="11"/>
      <c r="M143" s="11"/>
    </row>
    <row r="144" spans="2:13" ht="13" x14ac:dyDescent="0.15">
      <c r="B144" s="61" t="str">
        <f>C144&amp;"-"&amp;$B$12</f>
        <v>Installation-R</v>
      </c>
      <c r="C144" s="62" t="s">
        <v>150</v>
      </c>
      <c r="D144" s="52">
        <f>VLOOKUP(B144,ASSUMPTIONS!A82:D83,3,FALSE)</f>
        <v>1</v>
      </c>
      <c r="E144" s="44" t="s">
        <v>19</v>
      </c>
      <c r="F144" s="54">
        <f>SUM(H142:H143)</f>
        <v>50200</v>
      </c>
      <c r="G144" s="44" t="s">
        <v>43</v>
      </c>
      <c r="H144" s="54">
        <f>D144*F144</f>
        <v>50200</v>
      </c>
      <c r="I144" s="11"/>
      <c r="J144" s="33"/>
      <c r="K144" s="33"/>
      <c r="L144" s="33"/>
      <c r="M144" s="33"/>
    </row>
    <row r="145" spans="2:22" x14ac:dyDescent="0.15">
      <c r="B145" s="3" t="s">
        <v>65</v>
      </c>
      <c r="C145" s="42" t="s">
        <v>133</v>
      </c>
      <c r="H145" s="60">
        <f>SUM(H142:H144)</f>
        <v>100400</v>
      </c>
      <c r="R145" s="29"/>
    </row>
    <row r="146" spans="2:22" x14ac:dyDescent="0.15">
      <c r="C146" s="43" t="s">
        <v>49</v>
      </c>
      <c r="D146" s="2"/>
      <c r="E146" s="2"/>
      <c r="F146" s="2"/>
      <c r="G146" s="2"/>
      <c r="H146" s="60">
        <f>SUM(H136:H144)</f>
        <v>100400</v>
      </c>
    </row>
    <row r="147" spans="2:22" x14ac:dyDescent="0.15">
      <c r="H147" s="25"/>
    </row>
    <row r="148" spans="2:22" ht="31.5" customHeight="1" x14ac:dyDescent="0.15">
      <c r="G148" s="97" t="s">
        <v>262</v>
      </c>
      <c r="H148" s="25"/>
    </row>
    <row r="149" spans="2:22" x14ac:dyDescent="0.15">
      <c r="H149" s="25"/>
    </row>
    <row r="150" spans="2:22" x14ac:dyDescent="0.15">
      <c r="B150" s="16" t="s">
        <v>52</v>
      </c>
      <c r="D150" s="17" t="s">
        <v>46</v>
      </c>
      <c r="E150" s="18" t="s">
        <v>55</v>
      </c>
      <c r="G150" s="99">
        <v>0</v>
      </c>
      <c r="H150" s="99">
        <v>1</v>
      </c>
      <c r="I150" s="99">
        <v>2</v>
      </c>
      <c r="J150" s="99">
        <v>3</v>
      </c>
      <c r="K150" s="99">
        <v>4</v>
      </c>
      <c r="L150" s="99">
        <v>5</v>
      </c>
      <c r="M150" s="99">
        <v>6</v>
      </c>
      <c r="N150" s="99">
        <v>7</v>
      </c>
      <c r="O150" s="99">
        <v>8</v>
      </c>
      <c r="P150" s="99">
        <v>9</v>
      </c>
      <c r="Q150" s="99">
        <v>10</v>
      </c>
      <c r="R150" s="99">
        <v>11</v>
      </c>
      <c r="S150" s="99">
        <v>12</v>
      </c>
      <c r="T150" s="99">
        <v>13</v>
      </c>
      <c r="U150" s="99">
        <v>14</v>
      </c>
      <c r="V150" s="99">
        <v>15</v>
      </c>
    </row>
    <row r="151" spans="2:22" x14ac:dyDescent="0.15">
      <c r="D151" s="64" t="s">
        <v>67</v>
      </c>
      <c r="E151" s="65" t="s">
        <v>265</v>
      </c>
      <c r="G151" s="44" t="s">
        <v>43</v>
      </c>
      <c r="H151" s="44" t="s">
        <v>43</v>
      </c>
      <c r="I151" s="44" t="s">
        <v>43</v>
      </c>
      <c r="J151" s="44" t="s">
        <v>43</v>
      </c>
      <c r="K151" s="44" t="s">
        <v>43</v>
      </c>
      <c r="L151" s="44" t="s">
        <v>43</v>
      </c>
      <c r="M151" s="44" t="s">
        <v>43</v>
      </c>
      <c r="N151" s="44" t="s">
        <v>43</v>
      </c>
      <c r="O151" s="44" t="s">
        <v>43</v>
      </c>
      <c r="P151" s="44" t="s">
        <v>43</v>
      </c>
      <c r="Q151" s="44" t="s">
        <v>43</v>
      </c>
      <c r="R151" s="44" t="s">
        <v>43</v>
      </c>
      <c r="S151" s="44" t="s">
        <v>43</v>
      </c>
      <c r="T151" s="44" t="s">
        <v>43</v>
      </c>
      <c r="U151" s="44" t="s">
        <v>43</v>
      </c>
      <c r="V151" s="44" t="s">
        <v>43</v>
      </c>
    </row>
    <row r="152" spans="2:22" x14ac:dyDescent="0.15">
      <c r="B152" s="13"/>
      <c r="C152" s="42" t="s">
        <v>66</v>
      </c>
      <c r="D152" s="55">
        <f>IF(C12="E",D130*ASSUMPTIONS!C120,0)</f>
        <v>0</v>
      </c>
      <c r="E152" s="92">
        <v>1</v>
      </c>
      <c r="G152" s="54">
        <f>$D$152</f>
        <v>0</v>
      </c>
      <c r="H152" s="54">
        <f t="shared" ref="H152:V152" si="10">$D$152</f>
        <v>0</v>
      </c>
      <c r="I152" s="54">
        <f t="shared" si="10"/>
        <v>0</v>
      </c>
      <c r="J152" s="54">
        <f t="shared" si="10"/>
        <v>0</v>
      </c>
      <c r="K152" s="54">
        <f t="shared" si="10"/>
        <v>0</v>
      </c>
      <c r="L152" s="54">
        <f t="shared" si="10"/>
        <v>0</v>
      </c>
      <c r="M152" s="54">
        <f t="shared" si="10"/>
        <v>0</v>
      </c>
      <c r="N152" s="54">
        <f t="shared" si="10"/>
        <v>0</v>
      </c>
      <c r="O152" s="54">
        <f t="shared" si="10"/>
        <v>0</v>
      </c>
      <c r="P152" s="54">
        <f t="shared" si="10"/>
        <v>0</v>
      </c>
      <c r="Q152" s="54">
        <f t="shared" si="10"/>
        <v>0</v>
      </c>
      <c r="R152" s="54">
        <f t="shared" si="10"/>
        <v>0</v>
      </c>
      <c r="S152" s="54">
        <f t="shared" si="10"/>
        <v>0</v>
      </c>
      <c r="T152" s="54">
        <f t="shared" si="10"/>
        <v>0</v>
      </c>
      <c r="U152" s="54">
        <f t="shared" si="10"/>
        <v>0</v>
      </c>
      <c r="V152" s="54">
        <f t="shared" si="10"/>
        <v>0</v>
      </c>
    </row>
    <row r="153" spans="2:22" x14ac:dyDescent="0.15">
      <c r="B153" s="63"/>
      <c r="C153" s="42" t="s">
        <v>69</v>
      </c>
      <c r="D153" s="55">
        <f>VLOOKUP(F142,ASSUMPTIONS!A76:C79,3,FALSE)</f>
        <v>10000</v>
      </c>
      <c r="E153" s="110">
        <f>ASSUMPTIONS!C33</f>
        <v>6</v>
      </c>
      <c r="G153" s="54"/>
      <c r="H153" s="54">
        <f>IF(H$85/$E153=ROUNDDOWN(H$85/$E153,0),$D153,0)</f>
        <v>0</v>
      </c>
      <c r="I153" s="54">
        <f t="shared" ref="I153:V153" si="11">IF(I$85/$E153=ROUNDDOWN(I$85/$E153,0),$D153,0)</f>
        <v>0</v>
      </c>
      <c r="J153" s="54">
        <f t="shared" si="11"/>
        <v>0</v>
      </c>
      <c r="K153" s="54">
        <f t="shared" si="11"/>
        <v>0</v>
      </c>
      <c r="L153" s="54">
        <f t="shared" si="11"/>
        <v>0</v>
      </c>
      <c r="M153" s="54">
        <f t="shared" si="11"/>
        <v>10000</v>
      </c>
      <c r="N153" s="54">
        <f t="shared" si="11"/>
        <v>0</v>
      </c>
      <c r="O153" s="54">
        <f t="shared" si="11"/>
        <v>0</v>
      </c>
      <c r="P153" s="54">
        <f t="shared" si="11"/>
        <v>0</v>
      </c>
      <c r="Q153" s="54">
        <f t="shared" si="11"/>
        <v>0</v>
      </c>
      <c r="R153" s="54">
        <f t="shared" si="11"/>
        <v>0</v>
      </c>
      <c r="S153" s="54">
        <f t="shared" si="11"/>
        <v>10000</v>
      </c>
      <c r="T153" s="54">
        <f t="shared" si="11"/>
        <v>0</v>
      </c>
      <c r="U153" s="54">
        <f t="shared" si="11"/>
        <v>0</v>
      </c>
      <c r="V153" s="54">
        <f t="shared" si="11"/>
        <v>0</v>
      </c>
    </row>
    <row r="154" spans="2:22" x14ac:dyDescent="0.15">
      <c r="B154" s="13"/>
      <c r="C154" s="42" t="s">
        <v>70</v>
      </c>
      <c r="D154" s="55">
        <f>ASSUMPTIONS!C84*CALCULATION!H142</f>
        <v>1280</v>
      </c>
      <c r="E154" s="92">
        <v>1</v>
      </c>
      <c r="G154" s="54"/>
      <c r="H154" s="54">
        <f>IF(H153=0,$D$154,0)</f>
        <v>1280</v>
      </c>
      <c r="I154" s="54">
        <f t="shared" ref="I154:V154" si="12">IF(I153=0,$D$154,0)</f>
        <v>1280</v>
      </c>
      <c r="J154" s="54">
        <f t="shared" si="12"/>
        <v>1280</v>
      </c>
      <c r="K154" s="54">
        <f t="shared" si="12"/>
        <v>1280</v>
      </c>
      <c r="L154" s="54">
        <f t="shared" si="12"/>
        <v>1280</v>
      </c>
      <c r="M154" s="54">
        <f t="shared" si="12"/>
        <v>0</v>
      </c>
      <c r="N154" s="54">
        <f t="shared" si="12"/>
        <v>1280</v>
      </c>
      <c r="O154" s="54">
        <f t="shared" si="12"/>
        <v>1280</v>
      </c>
      <c r="P154" s="54">
        <f t="shared" si="12"/>
        <v>1280</v>
      </c>
      <c r="Q154" s="54">
        <f t="shared" si="12"/>
        <v>1280</v>
      </c>
      <c r="R154" s="54">
        <f t="shared" si="12"/>
        <v>1280</v>
      </c>
      <c r="S154" s="54">
        <f t="shared" si="12"/>
        <v>0</v>
      </c>
      <c r="T154" s="54">
        <f t="shared" si="12"/>
        <v>1280</v>
      </c>
      <c r="U154" s="54">
        <f t="shared" si="12"/>
        <v>1280</v>
      </c>
      <c r="V154" s="54">
        <f t="shared" si="12"/>
        <v>1280</v>
      </c>
    </row>
    <row r="155" spans="2:22" x14ac:dyDescent="0.15">
      <c r="C155" s="43" t="s">
        <v>57</v>
      </c>
      <c r="G155" s="54">
        <f t="shared" ref="G155:V155" si="13">SUM(G152:G154)</f>
        <v>0</v>
      </c>
      <c r="H155" s="54">
        <f t="shared" si="13"/>
        <v>1280</v>
      </c>
      <c r="I155" s="54">
        <f t="shared" si="13"/>
        <v>1280</v>
      </c>
      <c r="J155" s="54">
        <f t="shared" si="13"/>
        <v>1280</v>
      </c>
      <c r="K155" s="54">
        <f t="shared" si="13"/>
        <v>1280</v>
      </c>
      <c r="L155" s="54">
        <f t="shared" si="13"/>
        <v>1280</v>
      </c>
      <c r="M155" s="54">
        <f t="shared" si="13"/>
        <v>10000</v>
      </c>
      <c r="N155" s="54">
        <f t="shared" si="13"/>
        <v>1280</v>
      </c>
      <c r="O155" s="54">
        <f t="shared" si="13"/>
        <v>1280</v>
      </c>
      <c r="P155" s="54">
        <f t="shared" si="13"/>
        <v>1280</v>
      </c>
      <c r="Q155" s="54">
        <f t="shared" si="13"/>
        <v>1280</v>
      </c>
      <c r="R155" s="54">
        <f t="shared" si="13"/>
        <v>1280</v>
      </c>
      <c r="S155" s="54">
        <f t="shared" si="13"/>
        <v>10000</v>
      </c>
      <c r="T155" s="54">
        <f t="shared" si="13"/>
        <v>1280</v>
      </c>
      <c r="U155" s="54">
        <f t="shared" si="13"/>
        <v>1280</v>
      </c>
      <c r="V155" s="54">
        <f t="shared" si="13"/>
        <v>1280</v>
      </c>
    </row>
    <row r="158" spans="2:22" s="82" customFormat="1" ht="22.5" customHeight="1" x14ac:dyDescent="0.15">
      <c r="B158" s="123" t="s">
        <v>333</v>
      </c>
    </row>
    <row r="160" spans="2:22" x14ac:dyDescent="0.15">
      <c r="B160" s="16" t="s">
        <v>214</v>
      </c>
      <c r="G160" s="241"/>
    </row>
    <row r="161" spans="3:10" x14ac:dyDescent="0.15">
      <c r="G161" s="241"/>
    </row>
    <row r="162" spans="3:10" x14ac:dyDescent="0.15">
      <c r="D162" s="7" t="s">
        <v>15</v>
      </c>
      <c r="E162" s="7" t="s">
        <v>13</v>
      </c>
      <c r="G162" s="241"/>
    </row>
    <row r="163" spans="3:10" x14ac:dyDescent="0.15">
      <c r="C163" s="41" t="s">
        <v>125</v>
      </c>
      <c r="D163" s="53">
        <f>F23</f>
        <v>153.57000000000002</v>
      </c>
      <c r="E163" s="44" t="s">
        <v>14</v>
      </c>
      <c r="G163" s="241"/>
      <c r="H163" s="27"/>
      <c r="I163" s="27"/>
      <c r="J163" s="27"/>
    </row>
    <row r="164" spans="3:10" x14ac:dyDescent="0.15">
      <c r="C164" s="41" t="s">
        <v>126</v>
      </c>
      <c r="D164" s="53">
        <f>D163/(1-ASSUMPTIONS!C35)</f>
        <v>161.65263157894739</v>
      </c>
      <c r="E164" s="44" t="s">
        <v>14</v>
      </c>
      <c r="G164" s="241"/>
      <c r="I164" s="27"/>
      <c r="J164" s="27"/>
    </row>
    <row r="165" spans="3:10" x14ac:dyDescent="0.15">
      <c r="C165" s="41" t="s">
        <v>127</v>
      </c>
      <c r="D165" s="53">
        <f>D163*ASSUMPTIONS!C36</f>
        <v>230.35500000000002</v>
      </c>
      <c r="E165" s="44" t="s">
        <v>14</v>
      </c>
      <c r="G165" s="241"/>
      <c r="H165" s="27"/>
      <c r="I165" s="27"/>
      <c r="J165" s="27"/>
    </row>
    <row r="166" spans="3:10" x14ac:dyDescent="0.15">
      <c r="C166" s="41" t="s">
        <v>29</v>
      </c>
      <c r="D166" s="53">
        <f>D165+D164</f>
        <v>392.00763157894744</v>
      </c>
      <c r="E166" s="44" t="s">
        <v>14</v>
      </c>
      <c r="G166" s="242"/>
      <c r="H166" s="27"/>
      <c r="I166" s="27"/>
      <c r="J166" s="27"/>
    </row>
    <row r="167" spans="3:10" x14ac:dyDescent="0.15">
      <c r="C167" s="41" t="s">
        <v>29</v>
      </c>
      <c r="D167" s="53">
        <f>D166/Number_Minutes</f>
        <v>6.5334605263157908</v>
      </c>
      <c r="E167" s="44" t="s">
        <v>193</v>
      </c>
      <c r="G167" s="241"/>
      <c r="H167" s="27"/>
      <c r="I167" s="27"/>
      <c r="J167" s="27"/>
    </row>
    <row r="168" spans="3:10" x14ac:dyDescent="0.15">
      <c r="C168" s="41" t="s">
        <v>194</v>
      </c>
      <c r="D168" s="59">
        <f>D167*ASSUMPTIONS!C37+ASSUMPTIONS!C38</f>
        <v>5.5592791026315789</v>
      </c>
      <c r="E168" s="44" t="s">
        <v>34</v>
      </c>
      <c r="F168" s="240"/>
      <c r="G168" s="241"/>
      <c r="H168" s="27"/>
      <c r="I168" s="28"/>
      <c r="J168" s="28"/>
    </row>
    <row r="169" spans="3:10" x14ac:dyDescent="0.15">
      <c r="C169" s="41" t="s">
        <v>194</v>
      </c>
      <c r="D169" s="53">
        <f>D168*ASSUMPTIONS!C17*1000</f>
        <v>4.1455544268323683</v>
      </c>
      <c r="E169" s="44" t="s">
        <v>39</v>
      </c>
      <c r="F169" s="240"/>
      <c r="G169" s="241"/>
      <c r="H169" s="27"/>
      <c r="I169" s="27"/>
      <c r="J169" s="27"/>
    </row>
    <row r="170" spans="3:10" x14ac:dyDescent="0.15">
      <c r="C170" s="41" t="s">
        <v>40</v>
      </c>
      <c r="D170" s="53">
        <f>D169*ASSUMPTIONS!C39*ASSUMPTIONS!C40*Number_Hours*Number_Days</f>
        <v>3268.355110114639</v>
      </c>
      <c r="E170" s="44" t="s">
        <v>123</v>
      </c>
      <c r="G170" s="243"/>
      <c r="H170" s="27"/>
      <c r="I170" s="27"/>
      <c r="J170" s="27"/>
    </row>
    <row r="171" spans="3:10" x14ac:dyDescent="0.15">
      <c r="H171" s="27"/>
      <c r="I171" s="27"/>
      <c r="J171" s="27"/>
    </row>
    <row r="172" spans="3:10" x14ac:dyDescent="0.15">
      <c r="C172" s="2" t="s">
        <v>272</v>
      </c>
      <c r="H172" s="27"/>
      <c r="I172" s="27"/>
      <c r="J172" s="27"/>
    </row>
    <row r="173" spans="3:10" x14ac:dyDescent="0.15">
      <c r="C173" s="41" t="str">
        <f>ASSUMPTIONS!B54</f>
        <v>System Voltage (Solar powered instrument air)</v>
      </c>
      <c r="D173" s="111">
        <f>ASSUMPTIONS!C54</f>
        <v>24</v>
      </c>
      <c r="E173" s="44" t="str">
        <f>ASSUMPTIONS!D54</f>
        <v>V</v>
      </c>
      <c r="F173" s="98"/>
      <c r="H173" s="27"/>
      <c r="I173" s="27"/>
      <c r="J173" s="27"/>
    </row>
    <row r="174" spans="3:10" x14ac:dyDescent="0.15">
      <c r="C174" s="41" t="str">
        <f>ASSUMPTIONS!B55</f>
        <v>Battery Average Efficiency</v>
      </c>
      <c r="D174" s="52">
        <f>ASSUMPTIONS!C55</f>
        <v>0.85</v>
      </c>
      <c r="E174" s="44" t="str">
        <f>ASSUMPTIONS!D55</f>
        <v>%</v>
      </c>
      <c r="F174" s="98"/>
      <c r="H174" s="27"/>
      <c r="I174" s="27"/>
      <c r="J174" s="27"/>
    </row>
    <row r="175" spans="3:10" x14ac:dyDescent="0.15">
      <c r="C175" s="41" t="str">
        <f>ASSUMPTIONS!B56</f>
        <v>Avg. Peak Sun</v>
      </c>
      <c r="D175" s="53">
        <f>ASSUMPTIONS!C56</f>
        <v>4</v>
      </c>
      <c r="E175" s="44" t="str">
        <f>ASSUMPTIONS!D56</f>
        <v>h/days</v>
      </c>
      <c r="F175" s="98"/>
      <c r="H175" s="27"/>
      <c r="I175" s="27"/>
      <c r="J175" s="27"/>
    </row>
    <row r="176" spans="3:10" x14ac:dyDescent="0.15">
      <c r="C176" s="41" t="str">
        <f>ASSUMPTIONS!B57</f>
        <v>At Maximum Depth of Discharge</v>
      </c>
      <c r="D176" s="52">
        <f>ASSUMPTIONS!C57</f>
        <v>0.8</v>
      </c>
      <c r="E176" s="44" t="str">
        <f>ASSUMPTIONS!D57</f>
        <v>%</v>
      </c>
      <c r="F176" s="98"/>
      <c r="H176" s="113">
        <f>IF(OR(F198&gt;ASSUMPTIONS!C67,F199&gt;ASSUMPTIONS!C70),1,0)</f>
        <v>0</v>
      </c>
      <c r="I176" s="27"/>
      <c r="J176" s="27"/>
    </row>
    <row r="177" spans="2:10" x14ac:dyDescent="0.15">
      <c r="C177" s="41" t="str">
        <f>ASSUMPTIONS!B59</f>
        <v>Days of Energy Storage (Solar powered instrument air)</v>
      </c>
      <c r="D177" s="53">
        <f>ASSUMPTIONS!C59</f>
        <v>4</v>
      </c>
      <c r="E177" s="44" t="str">
        <f>ASSUMPTIONS!D59</f>
        <v>days</v>
      </c>
      <c r="F177" s="98"/>
      <c r="H177" s="27"/>
      <c r="I177" s="27"/>
      <c r="J177" s="27"/>
    </row>
    <row r="178" spans="2:10" x14ac:dyDescent="0.15">
      <c r="C178" s="41" t="str">
        <f>ASSUMPTIONS!B61</f>
        <v>Rating of the solar panel (Solar powered instrument air)</v>
      </c>
      <c r="D178" s="53">
        <f>ASSUMPTIONS!C61</f>
        <v>320</v>
      </c>
      <c r="E178" s="44" t="str">
        <f>ASSUMPTIONS!D61</f>
        <v>W</v>
      </c>
      <c r="F178" s="98"/>
      <c r="H178" s="27"/>
      <c r="I178" s="27"/>
      <c r="J178" s="27"/>
    </row>
    <row r="179" spans="2:10" x14ac:dyDescent="0.15">
      <c r="C179" s="41" t="str">
        <f>ASSUMPTIONS!B66</f>
        <v>Rating of the battery (Solar powered instrument air)</v>
      </c>
      <c r="D179" s="53">
        <f>ASSUMPTIONS!C66</f>
        <v>1100</v>
      </c>
      <c r="E179" s="44" t="str">
        <f>ASSUMPTIONS!D66</f>
        <v>Ah</v>
      </c>
      <c r="F179" s="98"/>
      <c r="H179" s="27"/>
      <c r="I179" s="27"/>
      <c r="J179" s="27"/>
    </row>
    <row r="180" spans="2:10" x14ac:dyDescent="0.15">
      <c r="F180" s="98"/>
      <c r="H180" s="27"/>
      <c r="I180" s="27"/>
      <c r="J180" s="27"/>
    </row>
    <row r="181" spans="2:10" x14ac:dyDescent="0.15">
      <c r="C181" s="2" t="s">
        <v>273</v>
      </c>
      <c r="F181" s="98"/>
      <c r="H181" s="27"/>
      <c r="I181" s="27"/>
      <c r="J181" s="27"/>
    </row>
    <row r="182" spans="2:10" x14ac:dyDescent="0.15">
      <c r="C182" s="41" t="s">
        <v>111</v>
      </c>
      <c r="D182" s="53">
        <f>D170*1000/Number_Days</f>
        <v>8954.397561957916</v>
      </c>
      <c r="E182" s="44" t="s">
        <v>119</v>
      </c>
      <c r="F182" s="98"/>
      <c r="H182" s="27"/>
      <c r="I182" s="27"/>
      <c r="J182" s="27"/>
    </row>
    <row r="183" spans="2:10" x14ac:dyDescent="0.15">
      <c r="C183" s="41" t="s">
        <v>113</v>
      </c>
      <c r="D183" s="53">
        <f>D182/D174</f>
        <v>10534.585367009313</v>
      </c>
      <c r="E183" s="44" t="s">
        <v>112</v>
      </c>
      <c r="F183" s="98"/>
      <c r="H183" s="27"/>
      <c r="I183" s="27"/>
      <c r="J183" s="27"/>
    </row>
    <row r="184" spans="2:10" x14ac:dyDescent="0.15">
      <c r="C184" s="41" t="s">
        <v>114</v>
      </c>
      <c r="D184" s="53">
        <f>(D183/D175)*(1+ASSUMPTIONS!C69)</f>
        <v>3423.7402442780267</v>
      </c>
      <c r="E184" s="44" t="s">
        <v>7</v>
      </c>
      <c r="F184" s="98"/>
      <c r="H184" s="27"/>
      <c r="I184" s="27"/>
      <c r="J184" s="27"/>
    </row>
    <row r="185" spans="2:10" x14ac:dyDescent="0.15">
      <c r="C185" s="41" t="s">
        <v>115</v>
      </c>
      <c r="D185" s="109">
        <f>(D183/D173)*(D177/D176)</f>
        <v>2194.705284793607</v>
      </c>
      <c r="E185" s="44" t="s">
        <v>106</v>
      </c>
      <c r="F185" s="98"/>
      <c r="H185" s="27"/>
      <c r="I185" s="27"/>
      <c r="J185" s="27"/>
    </row>
    <row r="187" spans="2:10" x14ac:dyDescent="0.15">
      <c r="B187" s="16" t="s">
        <v>51</v>
      </c>
    </row>
    <row r="189" spans="2:10" x14ac:dyDescent="0.15">
      <c r="D189" s="7" t="s">
        <v>46</v>
      </c>
      <c r="E189" s="7" t="s">
        <v>13</v>
      </c>
      <c r="F189" s="7" t="s">
        <v>48</v>
      </c>
      <c r="G189" s="7" t="s">
        <v>13</v>
      </c>
      <c r="H189" s="7" t="s">
        <v>49</v>
      </c>
    </row>
    <row r="190" spans="2:10" x14ac:dyDescent="0.15">
      <c r="C190" s="41" t="s">
        <v>266</v>
      </c>
      <c r="D190" s="53">
        <f>D98</f>
        <v>0</v>
      </c>
      <c r="E190" s="44" t="s">
        <v>47</v>
      </c>
      <c r="F190" s="53">
        <f>E98</f>
        <v>10</v>
      </c>
      <c r="G190" s="44" t="s">
        <v>196</v>
      </c>
      <c r="H190" s="54">
        <f t="shared" ref="H190:H195" si="14">D190*F190</f>
        <v>0</v>
      </c>
    </row>
    <row r="191" spans="2:10" x14ac:dyDescent="0.15">
      <c r="C191" s="41" t="s">
        <v>267</v>
      </c>
      <c r="D191" s="53">
        <f t="shared" ref="D191:D195" si="15">D99</f>
        <v>0</v>
      </c>
      <c r="E191" s="44" t="s">
        <v>47</v>
      </c>
      <c r="F191" s="53">
        <f t="shared" ref="F191:F195" si="16">E99</f>
        <v>2</v>
      </c>
      <c r="G191" s="44" t="s">
        <v>196</v>
      </c>
      <c r="H191" s="54">
        <f t="shared" si="14"/>
        <v>0</v>
      </c>
    </row>
    <row r="192" spans="2:10" x14ac:dyDescent="0.15">
      <c r="C192" s="41" t="s">
        <v>268</v>
      </c>
      <c r="D192" s="53">
        <f t="shared" si="15"/>
        <v>0</v>
      </c>
      <c r="E192" s="44" t="s">
        <v>47</v>
      </c>
      <c r="F192" s="53">
        <f t="shared" si="16"/>
        <v>0</v>
      </c>
      <c r="G192" s="44" t="s">
        <v>196</v>
      </c>
      <c r="H192" s="54">
        <f t="shared" si="14"/>
        <v>0</v>
      </c>
    </row>
    <row r="193" spans="2:22" x14ac:dyDescent="0.15">
      <c r="B193" s="103"/>
      <c r="C193" s="41" t="s">
        <v>269</v>
      </c>
      <c r="D193" s="53">
        <f t="shared" si="15"/>
        <v>0</v>
      </c>
      <c r="E193" s="44" t="s">
        <v>47</v>
      </c>
      <c r="F193" s="53">
        <f t="shared" si="16"/>
        <v>1</v>
      </c>
      <c r="G193" s="44" t="s">
        <v>196</v>
      </c>
      <c r="H193" s="54">
        <f t="shared" si="14"/>
        <v>0</v>
      </c>
    </row>
    <row r="194" spans="2:22" ht="13" x14ac:dyDescent="0.15">
      <c r="B194" s="103"/>
      <c r="C194" s="62" t="s">
        <v>270</v>
      </c>
      <c r="D194" s="53">
        <f t="shared" si="15"/>
        <v>0</v>
      </c>
      <c r="E194" s="44" t="s">
        <v>47</v>
      </c>
      <c r="F194" s="53">
        <f t="shared" si="16"/>
        <v>13</v>
      </c>
      <c r="G194" s="44" t="s">
        <v>196</v>
      </c>
      <c r="H194" s="54">
        <f t="shared" si="14"/>
        <v>0</v>
      </c>
    </row>
    <row r="195" spans="2:22" ht="13" x14ac:dyDescent="0.15">
      <c r="C195" s="62" t="s">
        <v>271</v>
      </c>
      <c r="D195" s="53">
        <f t="shared" si="15"/>
        <v>0</v>
      </c>
      <c r="E195" s="44" t="s">
        <v>47</v>
      </c>
      <c r="F195" s="53">
        <f t="shared" si="16"/>
        <v>0</v>
      </c>
      <c r="G195" s="44" t="s">
        <v>196</v>
      </c>
      <c r="H195" s="54">
        <f t="shared" si="14"/>
        <v>0</v>
      </c>
    </row>
    <row r="196" spans="2:22" ht="13" x14ac:dyDescent="0.15">
      <c r="C196" s="62" t="s">
        <v>132</v>
      </c>
      <c r="D196" s="53">
        <f>VLOOKUP(F196,ASSUMPTIONS!A87:C90,3,FALSE)</f>
        <v>37000</v>
      </c>
      <c r="E196" s="44" t="s">
        <v>195</v>
      </c>
      <c r="F196" s="53">
        <f>IF(D168&lt;5,5,IF(D168&lt;10,10,IF(D168&lt;15,15,IF(D168&lt;20,20,"NA"))))</f>
        <v>10</v>
      </c>
      <c r="G196" s="44" t="s">
        <v>34</v>
      </c>
      <c r="H196" s="54">
        <f>D196</f>
        <v>37000</v>
      </c>
      <c r="I196" s="118"/>
      <c r="J196" s="11"/>
      <c r="K196" s="11"/>
      <c r="L196" s="11"/>
      <c r="M196" s="11"/>
    </row>
    <row r="197" spans="2:22" ht="13" x14ac:dyDescent="0.15">
      <c r="C197" s="62" t="s">
        <v>289</v>
      </c>
      <c r="D197" s="53">
        <f>IF(F12="Y", ASSUMPTIONS!C118, 0)</f>
        <v>0</v>
      </c>
      <c r="E197" s="44" t="s">
        <v>47</v>
      </c>
      <c r="F197" s="53">
        <v>1</v>
      </c>
      <c r="G197" s="44" t="s">
        <v>196</v>
      </c>
      <c r="H197" s="54">
        <f>D197*F197</f>
        <v>0</v>
      </c>
      <c r="I197" s="25"/>
      <c r="J197" s="11"/>
      <c r="K197" s="11"/>
      <c r="L197" s="11"/>
      <c r="M197" s="11"/>
    </row>
    <row r="198" spans="2:22" ht="13" x14ac:dyDescent="0.15">
      <c r="C198" s="62" t="s">
        <v>91</v>
      </c>
      <c r="D198" s="53">
        <f>ASSUMPTIONS!C116</f>
        <v>500</v>
      </c>
      <c r="E198" s="44" t="s">
        <v>47</v>
      </c>
      <c r="F198" s="53">
        <f>ROUNDUP(D184/D178, 0)</f>
        <v>11</v>
      </c>
      <c r="G198" s="44" t="s">
        <v>196</v>
      </c>
      <c r="H198" s="54">
        <f>D198*F198</f>
        <v>5500</v>
      </c>
      <c r="I198" s="25"/>
      <c r="J198" s="11"/>
      <c r="K198" s="11"/>
      <c r="L198" s="11"/>
      <c r="M198" s="11"/>
    </row>
    <row r="199" spans="2:22" ht="13" x14ac:dyDescent="0.15">
      <c r="C199" s="62" t="s">
        <v>92</v>
      </c>
      <c r="D199" s="53">
        <f>ASSUMPTIONS!C117</f>
        <v>3500</v>
      </c>
      <c r="E199" s="44" t="s">
        <v>47</v>
      </c>
      <c r="F199" s="53">
        <f>ROUNDUP(D185/D179, 0)</f>
        <v>2</v>
      </c>
      <c r="G199" s="44" t="s">
        <v>196</v>
      </c>
      <c r="H199" s="54">
        <f>D199*F199</f>
        <v>7000</v>
      </c>
      <c r="I199" s="25"/>
      <c r="J199" s="11"/>
      <c r="K199" s="11"/>
      <c r="L199" s="11"/>
      <c r="M199" s="11"/>
    </row>
    <row r="200" spans="2:22" ht="13" x14ac:dyDescent="0.15">
      <c r="B200" s="61" t="str">
        <f>C200&amp;"-"&amp;$B$12</f>
        <v>Installation-R</v>
      </c>
      <c r="C200" s="62" t="s">
        <v>150</v>
      </c>
      <c r="D200" s="52">
        <f>VLOOKUP(B200,ASSUMPTIONS!A97:C98,3,FALSE)</f>
        <v>0.75</v>
      </c>
      <c r="E200" s="44" t="s">
        <v>19</v>
      </c>
      <c r="F200" s="54">
        <f>SUM(H196,H198,H199)</f>
        <v>49500</v>
      </c>
      <c r="G200" s="44" t="s">
        <v>43</v>
      </c>
      <c r="H200" s="54">
        <f>D200*F200</f>
        <v>37125</v>
      </c>
      <c r="I200" s="11"/>
      <c r="J200" s="33"/>
      <c r="K200" s="33"/>
      <c r="L200" s="33"/>
      <c r="M200" s="33"/>
    </row>
    <row r="201" spans="2:22" x14ac:dyDescent="0.15">
      <c r="B201" s="3" t="s">
        <v>65</v>
      </c>
      <c r="C201" s="42" t="s">
        <v>336</v>
      </c>
      <c r="H201" s="60">
        <f>SUM(H196:H200)</f>
        <v>86625</v>
      </c>
      <c r="R201" s="29"/>
    </row>
    <row r="202" spans="2:22" x14ac:dyDescent="0.15">
      <c r="C202" s="43" t="s">
        <v>49</v>
      </c>
      <c r="D202" s="2"/>
      <c r="E202" s="2"/>
      <c r="F202" s="2"/>
      <c r="G202" s="2"/>
      <c r="H202" s="60">
        <f>SUM(H190:H200)</f>
        <v>86625</v>
      </c>
    </row>
    <row r="203" spans="2:22" x14ac:dyDescent="0.15">
      <c r="H203" s="25"/>
    </row>
    <row r="204" spans="2:22" ht="31.5" customHeight="1" x14ac:dyDescent="0.15">
      <c r="G204" s="97" t="s">
        <v>262</v>
      </c>
      <c r="H204" s="25"/>
    </row>
    <row r="205" spans="2:22" x14ac:dyDescent="0.15">
      <c r="H205" s="25"/>
    </row>
    <row r="206" spans="2:22" x14ac:dyDescent="0.15">
      <c r="B206" s="16" t="s">
        <v>52</v>
      </c>
      <c r="D206" s="17" t="s">
        <v>46</v>
      </c>
      <c r="E206" s="18" t="s">
        <v>55</v>
      </c>
      <c r="G206" s="99">
        <v>0</v>
      </c>
      <c r="H206" s="99">
        <v>1</v>
      </c>
      <c r="I206" s="99">
        <v>2</v>
      </c>
      <c r="J206" s="99">
        <v>3</v>
      </c>
      <c r="K206" s="99">
        <v>4</v>
      </c>
      <c r="L206" s="99">
        <v>5</v>
      </c>
      <c r="M206" s="99">
        <v>6</v>
      </c>
      <c r="N206" s="99">
        <v>7</v>
      </c>
      <c r="O206" s="99">
        <v>8</v>
      </c>
      <c r="P206" s="99">
        <v>9</v>
      </c>
      <c r="Q206" s="99">
        <v>10</v>
      </c>
      <c r="R206" s="99">
        <v>11</v>
      </c>
      <c r="S206" s="99">
        <v>12</v>
      </c>
      <c r="T206" s="99">
        <v>13</v>
      </c>
      <c r="U206" s="99">
        <v>14</v>
      </c>
      <c r="V206" s="99">
        <v>15</v>
      </c>
    </row>
    <row r="207" spans="2:22" x14ac:dyDescent="0.15">
      <c r="D207" s="64" t="s">
        <v>67</v>
      </c>
      <c r="E207" s="65" t="s">
        <v>265</v>
      </c>
      <c r="G207" s="44" t="s">
        <v>43</v>
      </c>
      <c r="H207" s="44" t="s">
        <v>43</v>
      </c>
      <c r="I207" s="44" t="s">
        <v>43</v>
      </c>
      <c r="J207" s="44" t="s">
        <v>43</v>
      </c>
      <c r="K207" s="44" t="s">
        <v>43</v>
      </c>
      <c r="L207" s="44" t="s">
        <v>43</v>
      </c>
      <c r="M207" s="44" t="s">
        <v>43</v>
      </c>
      <c r="N207" s="44" t="s">
        <v>43</v>
      </c>
      <c r="O207" s="44" t="s">
        <v>43</v>
      </c>
      <c r="P207" s="44" t="s">
        <v>43</v>
      </c>
      <c r="Q207" s="44" t="s">
        <v>43</v>
      </c>
      <c r="R207" s="44" t="s">
        <v>43</v>
      </c>
      <c r="S207" s="44" t="s">
        <v>43</v>
      </c>
      <c r="T207" s="44" t="s">
        <v>43</v>
      </c>
      <c r="U207" s="44" t="s">
        <v>43</v>
      </c>
      <c r="V207" s="44" t="s">
        <v>43</v>
      </c>
    </row>
    <row r="208" spans="2:22" x14ac:dyDescent="0.15">
      <c r="B208" s="13"/>
      <c r="C208" s="42" t="s">
        <v>337</v>
      </c>
      <c r="D208" s="55">
        <f>VLOOKUP(F196, ASSUMPTIONS!A91:C94, 3, FALSE)</f>
        <v>10000</v>
      </c>
      <c r="E208" s="110">
        <f>ASSUMPTIONS!C41</f>
        <v>10</v>
      </c>
      <c r="G208" s="54"/>
      <c r="H208" s="54">
        <f t="shared" ref="H208:V211" si="17">IF(H$85/$E208=ROUNDDOWN(H$85/$E208,0),$D208,0)</f>
        <v>0</v>
      </c>
      <c r="I208" s="54">
        <f t="shared" si="17"/>
        <v>0</v>
      </c>
      <c r="J208" s="54">
        <f t="shared" si="17"/>
        <v>0</v>
      </c>
      <c r="K208" s="54">
        <f t="shared" si="17"/>
        <v>0</v>
      </c>
      <c r="L208" s="54">
        <f t="shared" si="17"/>
        <v>0</v>
      </c>
      <c r="M208" s="54">
        <f t="shared" si="17"/>
        <v>0</v>
      </c>
      <c r="N208" s="54">
        <f t="shared" si="17"/>
        <v>0</v>
      </c>
      <c r="O208" s="54">
        <f t="shared" si="17"/>
        <v>0</v>
      </c>
      <c r="P208" s="54">
        <f t="shared" si="17"/>
        <v>0</v>
      </c>
      <c r="Q208" s="54">
        <f t="shared" si="17"/>
        <v>10000</v>
      </c>
      <c r="R208" s="54">
        <f t="shared" si="17"/>
        <v>0</v>
      </c>
      <c r="S208" s="54">
        <f t="shared" si="17"/>
        <v>0</v>
      </c>
      <c r="T208" s="54">
        <f t="shared" si="17"/>
        <v>0</v>
      </c>
      <c r="U208" s="54">
        <f t="shared" si="17"/>
        <v>0</v>
      </c>
      <c r="V208" s="54">
        <f t="shared" si="17"/>
        <v>0</v>
      </c>
    </row>
    <row r="209" spans="2:22" x14ac:dyDescent="0.15">
      <c r="B209" s="63"/>
      <c r="C209" s="42" t="s">
        <v>218</v>
      </c>
      <c r="D209" s="55">
        <f>H196*ASSUMPTIONS!C99</f>
        <v>1480</v>
      </c>
      <c r="E209" s="92">
        <v>1</v>
      </c>
      <c r="G209" s="54"/>
      <c r="H209" s="54">
        <f t="shared" si="17"/>
        <v>1480</v>
      </c>
      <c r="I209" s="54">
        <f t="shared" si="17"/>
        <v>1480</v>
      </c>
      <c r="J209" s="54">
        <f t="shared" si="17"/>
        <v>1480</v>
      </c>
      <c r="K209" s="54">
        <f t="shared" si="17"/>
        <v>1480</v>
      </c>
      <c r="L209" s="54">
        <f t="shared" si="17"/>
        <v>1480</v>
      </c>
      <c r="M209" s="54">
        <f t="shared" si="17"/>
        <v>1480</v>
      </c>
      <c r="N209" s="54">
        <f t="shared" si="17"/>
        <v>1480</v>
      </c>
      <c r="O209" s="54">
        <f t="shared" si="17"/>
        <v>1480</v>
      </c>
      <c r="P209" s="54">
        <f t="shared" si="17"/>
        <v>1480</v>
      </c>
      <c r="Q209" s="54">
        <f t="shared" si="17"/>
        <v>1480</v>
      </c>
      <c r="R209" s="54">
        <f t="shared" si="17"/>
        <v>1480</v>
      </c>
      <c r="S209" s="54">
        <f t="shared" si="17"/>
        <v>1480</v>
      </c>
      <c r="T209" s="54">
        <f t="shared" si="17"/>
        <v>1480</v>
      </c>
      <c r="U209" s="54">
        <f t="shared" si="17"/>
        <v>1480</v>
      </c>
      <c r="V209" s="54">
        <f t="shared" si="17"/>
        <v>1480</v>
      </c>
    </row>
    <row r="210" spans="2:22" x14ac:dyDescent="0.15">
      <c r="B210" s="112"/>
      <c r="C210" s="42" t="s">
        <v>338</v>
      </c>
      <c r="D210" s="55">
        <f>H199</f>
        <v>7000</v>
      </c>
      <c r="E210" s="110">
        <f>ASSUMPTIONS!C51</f>
        <v>7</v>
      </c>
      <c r="G210" s="54"/>
      <c r="H210" s="54">
        <f t="shared" si="17"/>
        <v>0</v>
      </c>
      <c r="I210" s="54">
        <f t="shared" si="17"/>
        <v>0</v>
      </c>
      <c r="J210" s="54">
        <f t="shared" si="17"/>
        <v>0</v>
      </c>
      <c r="K210" s="54">
        <f t="shared" si="17"/>
        <v>0</v>
      </c>
      <c r="L210" s="54">
        <f t="shared" si="17"/>
        <v>0</v>
      </c>
      <c r="M210" s="54">
        <f t="shared" si="17"/>
        <v>0</v>
      </c>
      <c r="N210" s="54">
        <f t="shared" si="17"/>
        <v>7000</v>
      </c>
      <c r="O210" s="54">
        <f t="shared" si="17"/>
        <v>0</v>
      </c>
      <c r="P210" s="54">
        <f t="shared" si="17"/>
        <v>0</v>
      </c>
      <c r="Q210" s="54">
        <f t="shared" si="17"/>
        <v>0</v>
      </c>
      <c r="R210" s="54">
        <f t="shared" si="17"/>
        <v>0</v>
      </c>
      <c r="S210" s="54">
        <f t="shared" si="17"/>
        <v>0</v>
      </c>
      <c r="T210" s="54">
        <f t="shared" si="17"/>
        <v>0</v>
      </c>
      <c r="U210" s="54">
        <f t="shared" si="17"/>
        <v>7000</v>
      </c>
      <c r="V210" s="54">
        <f t="shared" si="17"/>
        <v>0</v>
      </c>
    </row>
    <row r="211" spans="2:22" x14ac:dyDescent="0.15">
      <c r="B211" s="112"/>
      <c r="C211" s="42" t="s">
        <v>339</v>
      </c>
      <c r="D211" s="55">
        <f>H198</f>
        <v>5500</v>
      </c>
      <c r="E211" s="110">
        <f>ASSUMPTIONS!C52</f>
        <v>10</v>
      </c>
      <c r="G211" s="54"/>
      <c r="H211" s="54">
        <f t="shared" si="17"/>
        <v>0</v>
      </c>
      <c r="I211" s="54">
        <f t="shared" si="17"/>
        <v>0</v>
      </c>
      <c r="J211" s="54">
        <f t="shared" si="17"/>
        <v>0</v>
      </c>
      <c r="K211" s="54">
        <f t="shared" si="17"/>
        <v>0</v>
      </c>
      <c r="L211" s="54">
        <f t="shared" si="17"/>
        <v>0</v>
      </c>
      <c r="M211" s="54">
        <f t="shared" si="17"/>
        <v>0</v>
      </c>
      <c r="N211" s="54">
        <f t="shared" si="17"/>
        <v>0</v>
      </c>
      <c r="O211" s="54">
        <f t="shared" si="17"/>
        <v>0</v>
      </c>
      <c r="P211" s="54">
        <f t="shared" si="17"/>
        <v>0</v>
      </c>
      <c r="Q211" s="54">
        <f t="shared" si="17"/>
        <v>5500</v>
      </c>
      <c r="R211" s="54">
        <f t="shared" si="17"/>
        <v>0</v>
      </c>
      <c r="S211" s="54">
        <f t="shared" si="17"/>
        <v>0</v>
      </c>
      <c r="T211" s="54">
        <f t="shared" si="17"/>
        <v>0</v>
      </c>
      <c r="U211" s="54">
        <f t="shared" si="17"/>
        <v>0</v>
      </c>
      <c r="V211" s="54">
        <f t="shared" si="17"/>
        <v>0</v>
      </c>
    </row>
    <row r="212" spans="2:22" x14ac:dyDescent="0.15">
      <c r="C212" s="43" t="s">
        <v>57</v>
      </c>
      <c r="G212" s="54"/>
      <c r="H212" s="54">
        <f t="shared" ref="H212:V212" si="18">SUM(H208:H211)</f>
        <v>1480</v>
      </c>
      <c r="I212" s="54">
        <f t="shared" si="18"/>
        <v>1480</v>
      </c>
      <c r="J212" s="54">
        <f t="shared" si="18"/>
        <v>1480</v>
      </c>
      <c r="K212" s="54">
        <f t="shared" si="18"/>
        <v>1480</v>
      </c>
      <c r="L212" s="54">
        <f t="shared" si="18"/>
        <v>1480</v>
      </c>
      <c r="M212" s="54">
        <f t="shared" si="18"/>
        <v>1480</v>
      </c>
      <c r="N212" s="54">
        <f t="shared" si="18"/>
        <v>8480</v>
      </c>
      <c r="O212" s="54">
        <f t="shared" si="18"/>
        <v>1480</v>
      </c>
      <c r="P212" s="54">
        <f t="shared" si="18"/>
        <v>1480</v>
      </c>
      <c r="Q212" s="54">
        <f t="shared" si="18"/>
        <v>16980</v>
      </c>
      <c r="R212" s="54">
        <f t="shared" si="18"/>
        <v>1480</v>
      </c>
      <c r="S212" s="54">
        <f t="shared" si="18"/>
        <v>1480</v>
      </c>
      <c r="T212" s="54">
        <f t="shared" si="18"/>
        <v>1480</v>
      </c>
      <c r="U212" s="54">
        <f t="shared" si="18"/>
        <v>8480</v>
      </c>
      <c r="V212" s="54">
        <f t="shared" si="18"/>
        <v>1480</v>
      </c>
    </row>
    <row r="215" spans="2:22" s="82" customFormat="1" ht="22.5" customHeight="1" x14ac:dyDescent="0.15">
      <c r="B215" s="123" t="s">
        <v>225</v>
      </c>
    </row>
    <row r="217" spans="2:22" x14ac:dyDescent="0.15">
      <c r="B217" s="98" t="s">
        <v>263</v>
      </c>
      <c r="G217" s="99">
        <v>0</v>
      </c>
      <c r="H217" s="99">
        <v>1</v>
      </c>
      <c r="I217" s="99">
        <v>2</v>
      </c>
      <c r="J217" s="99">
        <v>3</v>
      </c>
      <c r="K217" s="99">
        <v>4</v>
      </c>
      <c r="L217" s="99">
        <v>5</v>
      </c>
      <c r="M217" s="99">
        <v>6</v>
      </c>
      <c r="N217" s="99">
        <v>7</v>
      </c>
      <c r="O217" s="99">
        <v>8</v>
      </c>
      <c r="P217" s="99">
        <v>9</v>
      </c>
      <c r="Q217" s="99">
        <v>10</v>
      </c>
      <c r="R217" s="99">
        <v>11</v>
      </c>
      <c r="S217" s="99">
        <v>12</v>
      </c>
      <c r="T217" s="99">
        <v>13</v>
      </c>
      <c r="U217" s="99">
        <v>14</v>
      </c>
      <c r="V217" s="99">
        <v>15</v>
      </c>
    </row>
    <row r="218" spans="2:22" x14ac:dyDescent="0.15">
      <c r="B218" s="91">
        <f>IF(B12="N",ASSUMPTIONS!C25-1,DASHBOARD!O18-1)</f>
        <v>9</v>
      </c>
      <c r="E218" s="53" t="s">
        <v>73</v>
      </c>
      <c r="F218" s="44" t="s">
        <v>43</v>
      </c>
      <c r="G218" s="54">
        <f>F82</f>
        <v>60400</v>
      </c>
    </row>
    <row r="219" spans="2:22" x14ac:dyDescent="0.15">
      <c r="E219" s="53" t="s">
        <v>74</v>
      </c>
      <c r="F219" s="44" t="s">
        <v>43</v>
      </c>
      <c r="G219" s="54">
        <f>F104</f>
        <v>0</v>
      </c>
    </row>
    <row r="220" spans="2:22" x14ac:dyDescent="0.15">
      <c r="E220" s="47" t="s">
        <v>77</v>
      </c>
      <c r="F220" s="44" t="s">
        <v>43</v>
      </c>
      <c r="G220" s="60">
        <f>G218-G219</f>
        <v>60400</v>
      </c>
    </row>
    <row r="222" spans="2:22" x14ac:dyDescent="0.15">
      <c r="E222" s="53" t="s">
        <v>75</v>
      </c>
      <c r="F222" s="44" t="s">
        <v>43</v>
      </c>
      <c r="G222" s="54">
        <f t="shared" ref="G222:V222" si="19">G91</f>
        <v>0</v>
      </c>
      <c r="H222" s="54">
        <f t="shared" si="19"/>
        <v>960</v>
      </c>
      <c r="I222" s="54">
        <f t="shared" si="19"/>
        <v>960</v>
      </c>
      <c r="J222" s="54">
        <f t="shared" si="19"/>
        <v>960</v>
      </c>
      <c r="K222" s="54">
        <f t="shared" si="19"/>
        <v>2160</v>
      </c>
      <c r="L222" s="54">
        <f t="shared" si="19"/>
        <v>960</v>
      </c>
      <c r="M222" s="54">
        <f t="shared" si="19"/>
        <v>960</v>
      </c>
      <c r="N222" s="54">
        <f t="shared" si="19"/>
        <v>960</v>
      </c>
      <c r="O222" s="54">
        <f t="shared" si="19"/>
        <v>2160</v>
      </c>
      <c r="P222" s="54">
        <f t="shared" si="19"/>
        <v>960</v>
      </c>
      <c r="Q222" s="54">
        <f t="shared" si="19"/>
        <v>2160</v>
      </c>
      <c r="R222" s="54">
        <f t="shared" si="19"/>
        <v>960</v>
      </c>
      <c r="S222" s="54">
        <f t="shared" si="19"/>
        <v>2160</v>
      </c>
      <c r="T222" s="54">
        <f t="shared" si="19"/>
        <v>960</v>
      </c>
      <c r="U222" s="54">
        <f t="shared" si="19"/>
        <v>960</v>
      </c>
      <c r="V222" s="54">
        <f t="shared" si="19"/>
        <v>960</v>
      </c>
    </row>
    <row r="223" spans="2:22" x14ac:dyDescent="0.15">
      <c r="E223" s="53" t="s">
        <v>76</v>
      </c>
      <c r="F223" s="44" t="s">
        <v>43</v>
      </c>
      <c r="G223" s="54">
        <f t="shared" ref="G223:V223" si="20">G115</f>
        <v>0</v>
      </c>
      <c r="H223" s="54">
        <f t="shared" si="20"/>
        <v>1040</v>
      </c>
      <c r="I223" s="54">
        <f t="shared" si="20"/>
        <v>1040</v>
      </c>
      <c r="J223" s="54">
        <f t="shared" si="20"/>
        <v>1040</v>
      </c>
      <c r="K223" s="54">
        <f t="shared" si="20"/>
        <v>1040</v>
      </c>
      <c r="L223" s="54">
        <f t="shared" si="20"/>
        <v>1040</v>
      </c>
      <c r="M223" s="54">
        <f t="shared" si="20"/>
        <v>1040</v>
      </c>
      <c r="N223" s="54">
        <f t="shared" si="20"/>
        <v>1040</v>
      </c>
      <c r="O223" s="54">
        <f t="shared" si="20"/>
        <v>1040</v>
      </c>
      <c r="P223" s="54">
        <f t="shared" si="20"/>
        <v>1040</v>
      </c>
      <c r="Q223" s="54">
        <f t="shared" si="20"/>
        <v>1040</v>
      </c>
      <c r="R223" s="54">
        <f t="shared" si="20"/>
        <v>1040</v>
      </c>
      <c r="S223" s="54">
        <f t="shared" si="20"/>
        <v>1040</v>
      </c>
      <c r="T223" s="54">
        <f t="shared" si="20"/>
        <v>1040</v>
      </c>
      <c r="U223" s="54">
        <f t="shared" si="20"/>
        <v>1040</v>
      </c>
      <c r="V223" s="54">
        <f t="shared" si="20"/>
        <v>1040</v>
      </c>
    </row>
    <row r="224" spans="2:22" x14ac:dyDescent="0.15">
      <c r="D224" s="34"/>
      <c r="E224" s="47" t="s">
        <v>77</v>
      </c>
      <c r="F224" s="44" t="s">
        <v>43</v>
      </c>
      <c r="G224" s="60">
        <f>G222-G223</f>
        <v>0</v>
      </c>
      <c r="H224" s="60">
        <f>H222-H223</f>
        <v>-80</v>
      </c>
      <c r="I224" s="60">
        <f t="shared" ref="I224:U224" si="21">I222-I223</f>
        <v>-80</v>
      </c>
      <c r="J224" s="60">
        <f t="shared" si="21"/>
        <v>-80</v>
      </c>
      <c r="K224" s="60">
        <f t="shared" si="21"/>
        <v>1120</v>
      </c>
      <c r="L224" s="60">
        <f t="shared" si="21"/>
        <v>-80</v>
      </c>
      <c r="M224" s="60">
        <f t="shared" si="21"/>
        <v>-80</v>
      </c>
      <c r="N224" s="60">
        <f t="shared" si="21"/>
        <v>-80</v>
      </c>
      <c r="O224" s="60">
        <f t="shared" si="21"/>
        <v>1120</v>
      </c>
      <c r="P224" s="60">
        <f t="shared" si="21"/>
        <v>-80</v>
      </c>
      <c r="Q224" s="60">
        <f t="shared" si="21"/>
        <v>1120</v>
      </c>
      <c r="R224" s="60">
        <f t="shared" si="21"/>
        <v>-80</v>
      </c>
      <c r="S224" s="60">
        <f t="shared" si="21"/>
        <v>1120</v>
      </c>
      <c r="T224" s="60">
        <f t="shared" si="21"/>
        <v>-80</v>
      </c>
      <c r="U224" s="60">
        <f t="shared" si="21"/>
        <v>-80</v>
      </c>
      <c r="V224" s="60">
        <f t="shared" ref="V224" si="22">V222-V223</f>
        <v>-80</v>
      </c>
    </row>
    <row r="225" spans="4:22" x14ac:dyDescent="0.15">
      <c r="E225" s="53" t="s">
        <v>85</v>
      </c>
      <c r="F225" s="44" t="s">
        <v>43</v>
      </c>
      <c r="G225" s="54">
        <f>G224+G220</f>
        <v>60400</v>
      </c>
      <c r="H225" s="54">
        <f t="shared" ref="H225:U225" si="23">H224+H220</f>
        <v>-80</v>
      </c>
      <c r="I225" s="54">
        <f t="shared" si="23"/>
        <v>-80</v>
      </c>
      <c r="J225" s="54">
        <f t="shared" si="23"/>
        <v>-80</v>
      </c>
      <c r="K225" s="54">
        <f t="shared" si="23"/>
        <v>1120</v>
      </c>
      <c r="L225" s="54">
        <f t="shared" si="23"/>
        <v>-80</v>
      </c>
      <c r="M225" s="54">
        <f t="shared" si="23"/>
        <v>-80</v>
      </c>
      <c r="N225" s="54">
        <f t="shared" si="23"/>
        <v>-80</v>
      </c>
      <c r="O225" s="54">
        <f t="shared" si="23"/>
        <v>1120</v>
      </c>
      <c r="P225" s="54">
        <f t="shared" si="23"/>
        <v>-80</v>
      </c>
      <c r="Q225" s="54">
        <f t="shared" si="23"/>
        <v>1120</v>
      </c>
      <c r="R225" s="54">
        <f t="shared" si="23"/>
        <v>-80</v>
      </c>
      <c r="S225" s="54">
        <f t="shared" si="23"/>
        <v>1120</v>
      </c>
      <c r="T225" s="54">
        <f t="shared" si="23"/>
        <v>-80</v>
      </c>
      <c r="U225" s="54">
        <f t="shared" si="23"/>
        <v>-80</v>
      </c>
      <c r="V225" s="54">
        <f t="shared" ref="V225" si="24">V224+V220</f>
        <v>-80</v>
      </c>
    </row>
    <row r="227" spans="4:22" x14ac:dyDescent="0.15">
      <c r="E227" s="53" t="s">
        <v>78</v>
      </c>
      <c r="F227" s="44" t="s">
        <v>41</v>
      </c>
      <c r="G227" s="54">
        <f>$F$24-$F$37</f>
        <v>1341.6816000000001</v>
      </c>
      <c r="H227" s="54">
        <f t="shared" ref="H227:V227" si="25">$F$24-$F$37</f>
        <v>1341.6816000000001</v>
      </c>
      <c r="I227" s="54">
        <f t="shared" si="25"/>
        <v>1341.6816000000001</v>
      </c>
      <c r="J227" s="54">
        <f t="shared" si="25"/>
        <v>1341.6816000000001</v>
      </c>
      <c r="K227" s="54">
        <f t="shared" si="25"/>
        <v>1341.6816000000001</v>
      </c>
      <c r="L227" s="54">
        <f t="shared" si="25"/>
        <v>1341.6816000000001</v>
      </c>
      <c r="M227" s="54">
        <f t="shared" si="25"/>
        <v>1341.6816000000001</v>
      </c>
      <c r="N227" s="54">
        <f t="shared" si="25"/>
        <v>1341.6816000000001</v>
      </c>
      <c r="O227" s="54">
        <f t="shared" si="25"/>
        <v>1341.6816000000001</v>
      </c>
      <c r="P227" s="54">
        <f t="shared" si="25"/>
        <v>1341.6816000000001</v>
      </c>
      <c r="Q227" s="54">
        <f t="shared" si="25"/>
        <v>1341.6816000000001</v>
      </c>
      <c r="R227" s="54">
        <f t="shared" si="25"/>
        <v>1341.6816000000001</v>
      </c>
      <c r="S227" s="54">
        <f t="shared" si="25"/>
        <v>1341.6816000000001</v>
      </c>
      <c r="T227" s="54">
        <f t="shared" si="25"/>
        <v>1341.6816000000001</v>
      </c>
      <c r="U227" s="54">
        <f t="shared" si="25"/>
        <v>1341.6816000000001</v>
      </c>
      <c r="V227" s="54">
        <f t="shared" si="25"/>
        <v>1341.6816000000001</v>
      </c>
    </row>
    <row r="228" spans="4:22" x14ac:dyDescent="0.15">
      <c r="E228" s="53" t="s">
        <v>78</v>
      </c>
      <c r="F228" s="44" t="s">
        <v>43</v>
      </c>
      <c r="G228" s="54">
        <f>G227*DASHBOARD!Gas_Price</f>
        <v>2683.3632000000002</v>
      </c>
      <c r="H228" s="54">
        <f>H227*DASHBOARD!Gas_Price</f>
        <v>2683.3632000000002</v>
      </c>
      <c r="I228" s="54">
        <f>I227*DASHBOARD!Gas_Price</f>
        <v>2683.3632000000002</v>
      </c>
      <c r="J228" s="54">
        <f>J227*DASHBOARD!Gas_Price</f>
        <v>2683.3632000000002</v>
      </c>
      <c r="K228" s="54">
        <f>K227*DASHBOARD!Gas_Price</f>
        <v>2683.3632000000002</v>
      </c>
      <c r="L228" s="54">
        <f>L227*DASHBOARD!Gas_Price</f>
        <v>2683.3632000000002</v>
      </c>
      <c r="M228" s="54">
        <f>M227*DASHBOARD!Gas_Price</f>
        <v>2683.3632000000002</v>
      </c>
      <c r="N228" s="54">
        <f>N227*DASHBOARD!Gas_Price</f>
        <v>2683.3632000000002</v>
      </c>
      <c r="O228" s="54">
        <f>O227*DASHBOARD!Gas_Price</f>
        <v>2683.3632000000002</v>
      </c>
      <c r="P228" s="54">
        <f>P227*DASHBOARD!Gas_Price</f>
        <v>2683.3632000000002</v>
      </c>
      <c r="Q228" s="54">
        <f>Q227*DASHBOARD!Gas_Price</f>
        <v>2683.3632000000002</v>
      </c>
      <c r="R228" s="54">
        <f>R227*DASHBOARD!Gas_Price</f>
        <v>2683.3632000000002</v>
      </c>
      <c r="S228" s="54">
        <f>S227*DASHBOARD!Gas_Price</f>
        <v>2683.3632000000002</v>
      </c>
      <c r="T228" s="54">
        <f>T227*DASHBOARD!Gas_Price</f>
        <v>2683.3632000000002</v>
      </c>
      <c r="U228" s="54">
        <f>U227*DASHBOARD!Gas_Price</f>
        <v>2683.3632000000002</v>
      </c>
      <c r="V228" s="54">
        <f>V227*DASHBOARD!Gas_Price</f>
        <v>2683.3632000000002</v>
      </c>
    </row>
    <row r="229" spans="4:22" x14ac:dyDescent="0.15">
      <c r="D229" s="30"/>
      <c r="E229" s="53" t="s">
        <v>83</v>
      </c>
      <c r="F229" s="44" t="s">
        <v>86</v>
      </c>
      <c r="G229" s="54">
        <f>G227*$F$26</f>
        <v>6.2164136059382242</v>
      </c>
      <c r="H229" s="54">
        <f t="shared" ref="H229:V229" si="26">H227*$F$26</f>
        <v>6.2164136059382242</v>
      </c>
      <c r="I229" s="54">
        <f t="shared" si="26"/>
        <v>6.2164136059382242</v>
      </c>
      <c r="J229" s="54">
        <f t="shared" si="26"/>
        <v>6.2164136059382242</v>
      </c>
      <c r="K229" s="54">
        <f t="shared" si="26"/>
        <v>6.2164136059382242</v>
      </c>
      <c r="L229" s="54">
        <f t="shared" si="26"/>
        <v>6.2164136059382242</v>
      </c>
      <c r="M229" s="54">
        <f t="shared" si="26"/>
        <v>6.2164136059382242</v>
      </c>
      <c r="N229" s="54">
        <f t="shared" si="26"/>
        <v>6.2164136059382242</v>
      </c>
      <c r="O229" s="54">
        <f t="shared" si="26"/>
        <v>6.2164136059382242</v>
      </c>
      <c r="P229" s="54">
        <f t="shared" si="26"/>
        <v>6.2164136059382242</v>
      </c>
      <c r="Q229" s="54">
        <f t="shared" si="26"/>
        <v>6.2164136059382242</v>
      </c>
      <c r="R229" s="54">
        <f t="shared" si="26"/>
        <v>6.2164136059382242</v>
      </c>
      <c r="S229" s="54">
        <f t="shared" si="26"/>
        <v>6.2164136059382242</v>
      </c>
      <c r="T229" s="54">
        <f t="shared" si="26"/>
        <v>6.2164136059382242</v>
      </c>
      <c r="U229" s="54">
        <f t="shared" si="26"/>
        <v>6.2164136059382242</v>
      </c>
      <c r="V229" s="54">
        <f t="shared" si="26"/>
        <v>6.2164136059382242</v>
      </c>
    </row>
    <row r="230" spans="4:22" x14ac:dyDescent="0.15">
      <c r="D230" s="30"/>
      <c r="E230" s="53" t="s">
        <v>136</v>
      </c>
      <c r="F230" s="44" t="s">
        <v>135</v>
      </c>
      <c r="G230" s="54">
        <f t="shared" ref="G230:V230" si="27">IF(G217&lt;=$B$218,$F$27-$F$38,0)</f>
        <v>22.438041152405379</v>
      </c>
      <c r="H230" s="54">
        <f t="shared" si="27"/>
        <v>22.438041152405379</v>
      </c>
      <c r="I230" s="54">
        <f t="shared" si="27"/>
        <v>22.438041152405379</v>
      </c>
      <c r="J230" s="54">
        <f t="shared" si="27"/>
        <v>22.438041152405379</v>
      </c>
      <c r="K230" s="54">
        <f t="shared" si="27"/>
        <v>22.438041152405379</v>
      </c>
      <c r="L230" s="54">
        <f t="shared" si="27"/>
        <v>22.438041152405379</v>
      </c>
      <c r="M230" s="54">
        <f t="shared" si="27"/>
        <v>22.438041152405379</v>
      </c>
      <c r="N230" s="54">
        <f t="shared" si="27"/>
        <v>22.438041152405379</v>
      </c>
      <c r="O230" s="54">
        <f t="shared" si="27"/>
        <v>22.438041152405379</v>
      </c>
      <c r="P230" s="54">
        <f t="shared" si="27"/>
        <v>22.438041152405379</v>
      </c>
      <c r="Q230" s="54">
        <f t="shared" si="27"/>
        <v>0</v>
      </c>
      <c r="R230" s="54">
        <f t="shared" si="27"/>
        <v>0</v>
      </c>
      <c r="S230" s="54">
        <f t="shared" si="27"/>
        <v>0</v>
      </c>
      <c r="T230" s="54">
        <f t="shared" si="27"/>
        <v>0</v>
      </c>
      <c r="U230" s="54">
        <f t="shared" si="27"/>
        <v>0</v>
      </c>
      <c r="V230" s="54">
        <f t="shared" si="27"/>
        <v>0</v>
      </c>
    </row>
    <row r="231" spans="4:22" x14ac:dyDescent="0.15">
      <c r="E231" s="21"/>
      <c r="F231" s="10"/>
      <c r="G231" s="21"/>
      <c r="H231" s="21"/>
      <c r="I231" s="21"/>
      <c r="J231" s="21"/>
      <c r="K231" s="21"/>
      <c r="L231" s="21"/>
      <c r="M231" s="21"/>
      <c r="N231" s="21"/>
      <c r="O231" s="21"/>
      <c r="P231" s="21"/>
      <c r="Q231" s="21"/>
      <c r="R231" s="21"/>
      <c r="S231" s="21"/>
      <c r="T231" s="21"/>
      <c r="U231" s="21"/>
      <c r="V231" s="21"/>
    </row>
    <row r="232" spans="4:22" x14ac:dyDescent="0.15">
      <c r="E232" s="53" t="s">
        <v>81</v>
      </c>
      <c r="F232" s="44" t="s">
        <v>43</v>
      </c>
      <c r="G232" s="54">
        <f>IF(G217&lt;=$B$218,-G220-G224+G228,0)</f>
        <v>-57716.6368</v>
      </c>
      <c r="H232" s="54">
        <f t="shared" ref="H232:V232" si="28">IF(H217&lt;=$B$218,-H220-H224+H228,0)</f>
        <v>2763.3632000000002</v>
      </c>
      <c r="I232" s="54">
        <f t="shared" si="28"/>
        <v>2763.3632000000002</v>
      </c>
      <c r="J232" s="54">
        <f t="shared" si="28"/>
        <v>2763.3632000000002</v>
      </c>
      <c r="K232" s="54">
        <f t="shared" si="28"/>
        <v>1563.3632000000002</v>
      </c>
      <c r="L232" s="54">
        <f t="shared" si="28"/>
        <v>2763.3632000000002</v>
      </c>
      <c r="M232" s="54">
        <f t="shared" si="28"/>
        <v>2763.3632000000002</v>
      </c>
      <c r="N232" s="54">
        <f t="shared" si="28"/>
        <v>2763.3632000000002</v>
      </c>
      <c r="O232" s="54">
        <f t="shared" si="28"/>
        <v>1563.3632000000002</v>
      </c>
      <c r="P232" s="54">
        <f t="shared" si="28"/>
        <v>2763.3632000000002</v>
      </c>
      <c r="Q232" s="54">
        <f t="shared" si="28"/>
        <v>0</v>
      </c>
      <c r="R232" s="54">
        <f t="shared" si="28"/>
        <v>0</v>
      </c>
      <c r="S232" s="54">
        <f t="shared" si="28"/>
        <v>0</v>
      </c>
      <c r="T232" s="54">
        <f t="shared" si="28"/>
        <v>0</v>
      </c>
      <c r="U232" s="54">
        <f t="shared" si="28"/>
        <v>0</v>
      </c>
      <c r="V232" s="54">
        <f t="shared" si="28"/>
        <v>0</v>
      </c>
    </row>
    <row r="233" spans="4:22" x14ac:dyDescent="0.15">
      <c r="L233" s="21"/>
      <c r="M233" s="21"/>
      <c r="N233" s="21"/>
      <c r="O233" s="21"/>
      <c r="P233" s="21"/>
      <c r="Q233" s="21"/>
      <c r="R233" s="21"/>
      <c r="S233" s="21"/>
      <c r="T233" s="21"/>
      <c r="U233" s="21"/>
      <c r="V233" s="21"/>
    </row>
    <row r="234" spans="4:22" x14ac:dyDescent="0.15">
      <c r="E234" s="16" t="s">
        <v>264</v>
      </c>
      <c r="L234" s="21"/>
      <c r="M234" s="21"/>
      <c r="N234" s="21"/>
      <c r="O234" s="21"/>
      <c r="P234" s="21"/>
      <c r="Q234" s="21"/>
      <c r="R234" s="21"/>
      <c r="S234" s="21"/>
      <c r="T234" s="21"/>
      <c r="U234" s="21"/>
      <c r="V234" s="21"/>
    </row>
    <row r="235" spans="4:22" x14ac:dyDescent="0.15">
      <c r="E235" s="53" t="s">
        <v>51</v>
      </c>
      <c r="F235" s="65" t="s">
        <v>43</v>
      </c>
      <c r="G235" s="54">
        <f>G220</f>
        <v>60400</v>
      </c>
      <c r="H235" s="25"/>
    </row>
    <row r="236" spans="4:22" x14ac:dyDescent="0.15">
      <c r="E236" s="53" t="s">
        <v>79</v>
      </c>
      <c r="F236" s="65" t="s">
        <v>43</v>
      </c>
      <c r="G236" s="54">
        <f>G232+NPV(DASHBOARD!Interest_Rate,H232:V232)</f>
        <v>-41326.568944153769</v>
      </c>
      <c r="H236" s="25"/>
    </row>
    <row r="237" spans="4:22" x14ac:dyDescent="0.15">
      <c r="E237" s="53" t="s">
        <v>80</v>
      </c>
      <c r="F237" s="65" t="s">
        <v>137</v>
      </c>
      <c r="G237" s="54">
        <f>-G236/(G230+NPV(DASHBOARD!Interest_Rate,H230:V230))</f>
        <v>245.07668862314571</v>
      </c>
      <c r="H237" s="25"/>
    </row>
    <row r="238" spans="4:22" x14ac:dyDescent="0.15">
      <c r="E238" s="53" t="s">
        <v>80</v>
      </c>
      <c r="F238" s="65" t="s">
        <v>88</v>
      </c>
      <c r="G238" s="54">
        <f>-G236/NPV(DASHBOARD!Interest_Rate,G229:V229)</f>
        <v>703.73910977312642</v>
      </c>
      <c r="H238" s="25"/>
    </row>
    <row r="239" spans="4:22" x14ac:dyDescent="0.15">
      <c r="E239" s="21"/>
      <c r="F239" s="10"/>
      <c r="G239" s="26"/>
      <c r="H239" s="26"/>
    </row>
    <row r="241" spans="2:22" s="82" customFormat="1" ht="22.5" customHeight="1" x14ac:dyDescent="0.15">
      <c r="B241" s="123" t="s">
        <v>335</v>
      </c>
    </row>
    <row r="243" spans="2:22" x14ac:dyDescent="0.15">
      <c r="G243" s="99">
        <v>0</v>
      </c>
      <c r="H243" s="99">
        <v>1</v>
      </c>
      <c r="I243" s="99">
        <v>2</v>
      </c>
      <c r="J243" s="99">
        <v>3</v>
      </c>
      <c r="K243" s="99">
        <v>4</v>
      </c>
      <c r="L243" s="99">
        <v>5</v>
      </c>
      <c r="M243" s="99">
        <v>6</v>
      </c>
      <c r="N243" s="99">
        <v>7</v>
      </c>
      <c r="O243" s="99">
        <v>8</v>
      </c>
      <c r="P243" s="99">
        <v>9</v>
      </c>
      <c r="Q243" s="99">
        <v>10</v>
      </c>
      <c r="R243" s="99">
        <v>11</v>
      </c>
      <c r="S243" s="99">
        <v>12</v>
      </c>
      <c r="T243" s="99">
        <v>13</v>
      </c>
      <c r="U243" s="99">
        <v>14</v>
      </c>
      <c r="V243" s="99">
        <v>15</v>
      </c>
    </row>
    <row r="244" spans="2:22" x14ac:dyDescent="0.15">
      <c r="E244" s="53" t="s">
        <v>73</v>
      </c>
      <c r="F244" s="44" t="s">
        <v>43</v>
      </c>
      <c r="G244" s="54">
        <f>H146</f>
        <v>100400</v>
      </c>
    </row>
    <row r="245" spans="2:22" x14ac:dyDescent="0.15">
      <c r="E245" s="53" t="s">
        <v>74</v>
      </c>
      <c r="F245" s="44" t="s">
        <v>43</v>
      </c>
      <c r="G245" s="54">
        <f>F104</f>
        <v>0</v>
      </c>
    </row>
    <row r="246" spans="2:22" x14ac:dyDescent="0.15">
      <c r="E246" s="47" t="s">
        <v>77</v>
      </c>
      <c r="F246" s="44" t="s">
        <v>43</v>
      </c>
      <c r="G246" s="60">
        <f>G244-G245</f>
        <v>100400</v>
      </c>
    </row>
    <row r="248" spans="2:22" x14ac:dyDescent="0.15">
      <c r="E248" s="53" t="s">
        <v>75</v>
      </c>
      <c r="F248" s="44" t="s">
        <v>43</v>
      </c>
      <c r="G248" s="54">
        <f>G155</f>
        <v>0</v>
      </c>
      <c r="H248" s="54">
        <f t="shared" ref="H248:V248" si="29">I155</f>
        <v>1280</v>
      </c>
      <c r="I248" s="54">
        <f t="shared" si="29"/>
        <v>1280</v>
      </c>
      <c r="J248" s="54">
        <f t="shared" si="29"/>
        <v>1280</v>
      </c>
      <c r="K248" s="54">
        <f t="shared" si="29"/>
        <v>1280</v>
      </c>
      <c r="L248" s="54">
        <f t="shared" si="29"/>
        <v>10000</v>
      </c>
      <c r="M248" s="54">
        <f t="shared" si="29"/>
        <v>1280</v>
      </c>
      <c r="N248" s="54">
        <f t="shared" si="29"/>
        <v>1280</v>
      </c>
      <c r="O248" s="54">
        <f t="shared" si="29"/>
        <v>1280</v>
      </c>
      <c r="P248" s="54">
        <f t="shared" si="29"/>
        <v>1280</v>
      </c>
      <c r="Q248" s="54">
        <f t="shared" si="29"/>
        <v>1280</v>
      </c>
      <c r="R248" s="54">
        <f t="shared" si="29"/>
        <v>10000</v>
      </c>
      <c r="S248" s="54">
        <f t="shared" si="29"/>
        <v>1280</v>
      </c>
      <c r="T248" s="54">
        <f t="shared" si="29"/>
        <v>1280</v>
      </c>
      <c r="U248" s="54">
        <f t="shared" si="29"/>
        <v>1280</v>
      </c>
      <c r="V248" s="54">
        <f t="shared" si="29"/>
        <v>0</v>
      </c>
    </row>
    <row r="249" spans="2:22" x14ac:dyDescent="0.15">
      <c r="E249" s="53" t="s">
        <v>76</v>
      </c>
      <c r="F249" s="44" t="s">
        <v>43</v>
      </c>
      <c r="G249" s="54">
        <f t="shared" ref="G249:V249" si="30">G115</f>
        <v>0</v>
      </c>
      <c r="H249" s="54">
        <f t="shared" si="30"/>
        <v>1040</v>
      </c>
      <c r="I249" s="54">
        <f t="shared" si="30"/>
        <v>1040</v>
      </c>
      <c r="J249" s="54">
        <f t="shared" si="30"/>
        <v>1040</v>
      </c>
      <c r="K249" s="54">
        <f t="shared" si="30"/>
        <v>1040</v>
      </c>
      <c r="L249" s="54">
        <f t="shared" si="30"/>
        <v>1040</v>
      </c>
      <c r="M249" s="54">
        <f t="shared" si="30"/>
        <v>1040</v>
      </c>
      <c r="N249" s="54">
        <f t="shared" si="30"/>
        <v>1040</v>
      </c>
      <c r="O249" s="54">
        <f t="shared" si="30"/>
        <v>1040</v>
      </c>
      <c r="P249" s="54">
        <f t="shared" si="30"/>
        <v>1040</v>
      </c>
      <c r="Q249" s="54">
        <f t="shared" si="30"/>
        <v>1040</v>
      </c>
      <c r="R249" s="54">
        <f t="shared" si="30"/>
        <v>1040</v>
      </c>
      <c r="S249" s="54">
        <f t="shared" si="30"/>
        <v>1040</v>
      </c>
      <c r="T249" s="54">
        <f t="shared" si="30"/>
        <v>1040</v>
      </c>
      <c r="U249" s="54">
        <f t="shared" si="30"/>
        <v>1040</v>
      </c>
      <c r="V249" s="54">
        <f t="shared" si="30"/>
        <v>1040</v>
      </c>
    </row>
    <row r="250" spans="2:22" x14ac:dyDescent="0.15">
      <c r="E250" s="47" t="s">
        <v>77</v>
      </c>
      <c r="F250" s="44" t="s">
        <v>43</v>
      </c>
      <c r="G250" s="60">
        <f>G248-G249</f>
        <v>0</v>
      </c>
      <c r="H250" s="60">
        <f t="shared" ref="H250:U250" si="31">H248-H249</f>
        <v>240</v>
      </c>
      <c r="I250" s="60">
        <f t="shared" si="31"/>
        <v>240</v>
      </c>
      <c r="J250" s="60">
        <f t="shared" si="31"/>
        <v>240</v>
      </c>
      <c r="K250" s="60">
        <f t="shared" si="31"/>
        <v>240</v>
      </c>
      <c r="L250" s="60">
        <f t="shared" si="31"/>
        <v>8960</v>
      </c>
      <c r="M250" s="60">
        <f t="shared" si="31"/>
        <v>240</v>
      </c>
      <c r="N250" s="60">
        <f t="shared" si="31"/>
        <v>240</v>
      </c>
      <c r="O250" s="60">
        <f t="shared" si="31"/>
        <v>240</v>
      </c>
      <c r="P250" s="60">
        <f t="shared" si="31"/>
        <v>240</v>
      </c>
      <c r="Q250" s="60">
        <f t="shared" si="31"/>
        <v>240</v>
      </c>
      <c r="R250" s="60">
        <f t="shared" si="31"/>
        <v>8960</v>
      </c>
      <c r="S250" s="60">
        <f t="shared" si="31"/>
        <v>240</v>
      </c>
      <c r="T250" s="60">
        <f t="shared" si="31"/>
        <v>240</v>
      </c>
      <c r="U250" s="60">
        <f t="shared" si="31"/>
        <v>240</v>
      </c>
      <c r="V250" s="60">
        <f t="shared" ref="V250" si="32">V248-V249</f>
        <v>-1040</v>
      </c>
    </row>
    <row r="251" spans="2:22" x14ac:dyDescent="0.15">
      <c r="E251" s="53" t="s">
        <v>85</v>
      </c>
      <c r="F251" s="44" t="s">
        <v>43</v>
      </c>
      <c r="G251" s="54">
        <f>G250+G246</f>
        <v>100400</v>
      </c>
      <c r="H251" s="54">
        <f>H250+H246</f>
        <v>240</v>
      </c>
      <c r="I251" s="54">
        <f>I250+I246</f>
        <v>240</v>
      </c>
      <c r="J251" s="54">
        <f t="shared" ref="J251:U251" si="33">J250+J246</f>
        <v>240</v>
      </c>
      <c r="K251" s="54">
        <f t="shared" si="33"/>
        <v>240</v>
      </c>
      <c r="L251" s="54">
        <f t="shared" si="33"/>
        <v>8960</v>
      </c>
      <c r="M251" s="54">
        <f t="shared" si="33"/>
        <v>240</v>
      </c>
      <c r="N251" s="54">
        <f t="shared" si="33"/>
        <v>240</v>
      </c>
      <c r="O251" s="54">
        <f t="shared" si="33"/>
        <v>240</v>
      </c>
      <c r="P251" s="54">
        <f t="shared" si="33"/>
        <v>240</v>
      </c>
      <c r="Q251" s="54">
        <f t="shared" si="33"/>
        <v>240</v>
      </c>
      <c r="R251" s="54">
        <f t="shared" si="33"/>
        <v>8960</v>
      </c>
      <c r="S251" s="54">
        <f t="shared" si="33"/>
        <v>240</v>
      </c>
      <c r="T251" s="54">
        <f t="shared" si="33"/>
        <v>240</v>
      </c>
      <c r="U251" s="54">
        <f t="shared" si="33"/>
        <v>240</v>
      </c>
      <c r="V251" s="54">
        <f t="shared" ref="V251" si="34">V250+V246</f>
        <v>-1040</v>
      </c>
    </row>
    <row r="253" spans="2:22" x14ac:dyDescent="0.15">
      <c r="E253" s="53" t="s">
        <v>78</v>
      </c>
      <c r="F253" s="44" t="s">
        <v>41</v>
      </c>
      <c r="G253" s="54">
        <f>$F$24</f>
        <v>1345.2732000000001</v>
      </c>
      <c r="H253" s="54">
        <f t="shared" ref="H253:V253" si="35">$F$24</f>
        <v>1345.2732000000001</v>
      </c>
      <c r="I253" s="54">
        <f t="shared" si="35"/>
        <v>1345.2732000000001</v>
      </c>
      <c r="J253" s="54">
        <f t="shared" si="35"/>
        <v>1345.2732000000001</v>
      </c>
      <c r="K253" s="54">
        <f t="shared" si="35"/>
        <v>1345.2732000000001</v>
      </c>
      <c r="L253" s="54">
        <f t="shared" si="35"/>
        <v>1345.2732000000001</v>
      </c>
      <c r="M253" s="54">
        <f t="shared" si="35"/>
        <v>1345.2732000000001</v>
      </c>
      <c r="N253" s="54">
        <f t="shared" si="35"/>
        <v>1345.2732000000001</v>
      </c>
      <c r="O253" s="54">
        <f t="shared" si="35"/>
        <v>1345.2732000000001</v>
      </c>
      <c r="P253" s="54">
        <f t="shared" si="35"/>
        <v>1345.2732000000001</v>
      </c>
      <c r="Q253" s="54">
        <f t="shared" si="35"/>
        <v>1345.2732000000001</v>
      </c>
      <c r="R253" s="54">
        <f t="shared" si="35"/>
        <v>1345.2732000000001</v>
      </c>
      <c r="S253" s="54">
        <f t="shared" si="35"/>
        <v>1345.2732000000001</v>
      </c>
      <c r="T253" s="54">
        <f t="shared" si="35"/>
        <v>1345.2732000000001</v>
      </c>
      <c r="U253" s="54">
        <f t="shared" si="35"/>
        <v>1345.2732000000001</v>
      </c>
      <c r="V253" s="54">
        <f t="shared" si="35"/>
        <v>1345.2732000000001</v>
      </c>
    </row>
    <row r="254" spans="2:22" x14ac:dyDescent="0.15">
      <c r="E254" s="53" t="s">
        <v>78</v>
      </c>
      <c r="F254" s="44" t="s">
        <v>43</v>
      </c>
      <c r="G254" s="54">
        <f>G253*DASHBOARD!Gas_Price</f>
        <v>2690.5464000000002</v>
      </c>
      <c r="H254" s="54">
        <f>H253*DASHBOARD!Gas_Price</f>
        <v>2690.5464000000002</v>
      </c>
      <c r="I254" s="54">
        <f>I253*DASHBOARD!Gas_Price</f>
        <v>2690.5464000000002</v>
      </c>
      <c r="J254" s="54">
        <f>J253*DASHBOARD!Gas_Price</f>
        <v>2690.5464000000002</v>
      </c>
      <c r="K254" s="54">
        <f>K253*DASHBOARD!Gas_Price</f>
        <v>2690.5464000000002</v>
      </c>
      <c r="L254" s="54">
        <f>L253*DASHBOARD!Gas_Price</f>
        <v>2690.5464000000002</v>
      </c>
      <c r="M254" s="54">
        <f>M253*DASHBOARD!Gas_Price</f>
        <v>2690.5464000000002</v>
      </c>
      <c r="N254" s="54">
        <f>N253*DASHBOARD!Gas_Price</f>
        <v>2690.5464000000002</v>
      </c>
      <c r="O254" s="54">
        <f>O253*DASHBOARD!Gas_Price</f>
        <v>2690.5464000000002</v>
      </c>
      <c r="P254" s="54">
        <f>P253*DASHBOARD!Gas_Price</f>
        <v>2690.5464000000002</v>
      </c>
      <c r="Q254" s="54">
        <f>Q253*DASHBOARD!Gas_Price</f>
        <v>2690.5464000000002</v>
      </c>
      <c r="R254" s="54">
        <f>R253*DASHBOARD!Gas_Price</f>
        <v>2690.5464000000002</v>
      </c>
      <c r="S254" s="54">
        <f>S253*DASHBOARD!Gas_Price</f>
        <v>2690.5464000000002</v>
      </c>
      <c r="T254" s="54">
        <f>T253*DASHBOARD!Gas_Price</f>
        <v>2690.5464000000002</v>
      </c>
      <c r="U254" s="54">
        <f>U253*DASHBOARD!Gas_Price</f>
        <v>2690.5464000000002</v>
      </c>
      <c r="V254" s="54">
        <f>V253*DASHBOARD!Gas_Price</f>
        <v>2690.5464000000002</v>
      </c>
    </row>
    <row r="255" spans="2:22" x14ac:dyDescent="0.15">
      <c r="E255" s="53" t="s">
        <v>83</v>
      </c>
      <c r="F255" s="44" t="s">
        <v>84</v>
      </c>
      <c r="G255" s="54">
        <f>G253*$F$26</f>
        <v>6.2330545668838671</v>
      </c>
      <c r="H255" s="54">
        <f t="shared" ref="H255:V255" si="36">H253*$F$26</f>
        <v>6.2330545668838671</v>
      </c>
      <c r="I255" s="54">
        <f t="shared" si="36"/>
        <v>6.2330545668838671</v>
      </c>
      <c r="J255" s="54">
        <f t="shared" si="36"/>
        <v>6.2330545668838671</v>
      </c>
      <c r="K255" s="54">
        <f t="shared" si="36"/>
        <v>6.2330545668838671</v>
      </c>
      <c r="L255" s="54">
        <f t="shared" si="36"/>
        <v>6.2330545668838671</v>
      </c>
      <c r="M255" s="54">
        <f t="shared" si="36"/>
        <v>6.2330545668838671</v>
      </c>
      <c r="N255" s="54">
        <f t="shared" si="36"/>
        <v>6.2330545668838671</v>
      </c>
      <c r="O255" s="54">
        <f t="shared" si="36"/>
        <v>6.2330545668838671</v>
      </c>
      <c r="P255" s="54">
        <f t="shared" si="36"/>
        <v>6.2330545668838671</v>
      </c>
      <c r="Q255" s="54">
        <f t="shared" si="36"/>
        <v>6.2330545668838671</v>
      </c>
      <c r="R255" s="54">
        <f t="shared" si="36"/>
        <v>6.2330545668838671</v>
      </c>
      <c r="S255" s="54">
        <f t="shared" si="36"/>
        <v>6.2330545668838671</v>
      </c>
      <c r="T255" s="54">
        <f t="shared" si="36"/>
        <v>6.2330545668838671</v>
      </c>
      <c r="U255" s="54">
        <f t="shared" si="36"/>
        <v>6.2330545668838671</v>
      </c>
      <c r="V255" s="54">
        <f t="shared" si="36"/>
        <v>6.2330545668838671</v>
      </c>
    </row>
    <row r="256" spans="2:22" x14ac:dyDescent="0.15">
      <c r="E256" s="53" t="s">
        <v>136</v>
      </c>
      <c r="F256" s="44" t="s">
        <v>135</v>
      </c>
      <c r="G256" s="54">
        <f t="shared" ref="G256:V256" si="37">IF(G217&lt;$B$218,$F$27,0)</f>
        <v>22.498106423184215</v>
      </c>
      <c r="H256" s="54">
        <f t="shared" si="37"/>
        <v>22.498106423184215</v>
      </c>
      <c r="I256" s="54">
        <f t="shared" si="37"/>
        <v>22.498106423184215</v>
      </c>
      <c r="J256" s="54">
        <f t="shared" si="37"/>
        <v>22.498106423184215</v>
      </c>
      <c r="K256" s="54">
        <f t="shared" si="37"/>
        <v>22.498106423184215</v>
      </c>
      <c r="L256" s="54">
        <f t="shared" si="37"/>
        <v>22.498106423184215</v>
      </c>
      <c r="M256" s="54">
        <f t="shared" si="37"/>
        <v>22.498106423184215</v>
      </c>
      <c r="N256" s="54">
        <f t="shared" si="37"/>
        <v>22.498106423184215</v>
      </c>
      <c r="O256" s="54">
        <f t="shared" si="37"/>
        <v>22.498106423184215</v>
      </c>
      <c r="P256" s="54">
        <f t="shared" si="37"/>
        <v>0</v>
      </c>
      <c r="Q256" s="54">
        <f t="shared" si="37"/>
        <v>0</v>
      </c>
      <c r="R256" s="54">
        <f t="shared" si="37"/>
        <v>0</v>
      </c>
      <c r="S256" s="54">
        <f t="shared" si="37"/>
        <v>0</v>
      </c>
      <c r="T256" s="54">
        <f t="shared" si="37"/>
        <v>0</v>
      </c>
      <c r="U256" s="54">
        <f t="shared" si="37"/>
        <v>0</v>
      </c>
      <c r="V256" s="54">
        <f t="shared" si="37"/>
        <v>0</v>
      </c>
    </row>
    <row r="257" spans="2:22" x14ac:dyDescent="0.15">
      <c r="E257" s="21"/>
      <c r="F257" s="10"/>
      <c r="G257" s="21"/>
      <c r="H257" s="21"/>
      <c r="I257" s="21"/>
      <c r="J257" s="21"/>
      <c r="K257" s="21"/>
      <c r="L257" s="21"/>
      <c r="M257" s="21"/>
      <c r="N257" s="21"/>
      <c r="O257" s="21"/>
      <c r="P257" s="21"/>
      <c r="Q257" s="21"/>
      <c r="R257" s="21"/>
      <c r="S257" s="21"/>
      <c r="T257" s="21"/>
      <c r="U257" s="21"/>
      <c r="V257" s="21"/>
    </row>
    <row r="258" spans="2:22" x14ac:dyDescent="0.15">
      <c r="E258" s="53" t="s">
        <v>81</v>
      </c>
      <c r="F258" s="44" t="s">
        <v>43</v>
      </c>
      <c r="G258" s="54">
        <f>IF(G243&lt;=$B$218,-G246-G250+G254,0)</f>
        <v>-97709.453599999993</v>
      </c>
      <c r="H258" s="54">
        <f t="shared" ref="H258:V258" si="38">IF(H243&lt;=$B$218,-H246-H250+H254,0)</f>
        <v>2450.5464000000002</v>
      </c>
      <c r="I258" s="54">
        <f t="shared" si="38"/>
        <v>2450.5464000000002</v>
      </c>
      <c r="J258" s="54">
        <f t="shared" si="38"/>
        <v>2450.5464000000002</v>
      </c>
      <c r="K258" s="54">
        <f t="shared" si="38"/>
        <v>2450.5464000000002</v>
      </c>
      <c r="L258" s="54">
        <f t="shared" si="38"/>
        <v>-6269.4535999999998</v>
      </c>
      <c r="M258" s="54">
        <f t="shared" si="38"/>
        <v>2450.5464000000002</v>
      </c>
      <c r="N258" s="54">
        <f t="shared" si="38"/>
        <v>2450.5464000000002</v>
      </c>
      <c r="O258" s="54">
        <f t="shared" si="38"/>
        <v>2450.5464000000002</v>
      </c>
      <c r="P258" s="54">
        <f t="shared" si="38"/>
        <v>2450.5464000000002</v>
      </c>
      <c r="Q258" s="54">
        <f t="shared" si="38"/>
        <v>0</v>
      </c>
      <c r="R258" s="54">
        <f t="shared" si="38"/>
        <v>0</v>
      </c>
      <c r="S258" s="54">
        <f t="shared" si="38"/>
        <v>0</v>
      </c>
      <c r="T258" s="54">
        <f t="shared" si="38"/>
        <v>0</v>
      </c>
      <c r="U258" s="54">
        <f t="shared" si="38"/>
        <v>0</v>
      </c>
      <c r="V258" s="54">
        <f t="shared" si="38"/>
        <v>0</v>
      </c>
    </row>
    <row r="260" spans="2:22" x14ac:dyDescent="0.15">
      <c r="E260" s="16" t="s">
        <v>264</v>
      </c>
    </row>
    <row r="261" spans="2:22" x14ac:dyDescent="0.15">
      <c r="E261" s="53" t="s">
        <v>51</v>
      </c>
      <c r="F261" s="44" t="s">
        <v>43</v>
      </c>
      <c r="G261" s="54">
        <f>G246</f>
        <v>100400</v>
      </c>
      <c r="H261" s="25"/>
    </row>
    <row r="262" spans="2:22" x14ac:dyDescent="0.15">
      <c r="E262" s="53" t="s">
        <v>79</v>
      </c>
      <c r="F262" s="44" t="s">
        <v>43</v>
      </c>
      <c r="G262" s="54">
        <f>G258+NPV(DASHBOARD!Interest_Rate,H258:U258)</f>
        <v>-87960.814152642022</v>
      </c>
      <c r="H262" s="25"/>
    </row>
    <row r="263" spans="2:22" x14ac:dyDescent="0.15">
      <c r="E263" s="53" t="s">
        <v>80</v>
      </c>
      <c r="F263" s="44" t="s">
        <v>137</v>
      </c>
      <c r="G263" s="54">
        <f>-G262/(G256+NPV(DASHBOARD!Interest_Rate,H256:V256))</f>
        <v>560.82787885385881</v>
      </c>
      <c r="H263" s="25"/>
    </row>
    <row r="264" spans="2:22" x14ac:dyDescent="0.15">
      <c r="E264" s="53" t="s">
        <v>80</v>
      </c>
      <c r="F264" s="44" t="s">
        <v>88</v>
      </c>
      <c r="G264" s="54">
        <f>-G262/NPV(DASHBOARD!Interest_Rate,G255:U255)</f>
        <v>1549.4208296515076</v>
      </c>
      <c r="H264" s="25"/>
    </row>
    <row r="266" spans="2:22" hidden="1" outlineLevel="1" x14ac:dyDescent="0.15"/>
    <row r="267" spans="2:22" s="82" customFormat="1" ht="22.5" hidden="1" customHeight="1" outlineLevel="1" x14ac:dyDescent="0.15">
      <c r="B267" s="81" t="s">
        <v>226</v>
      </c>
    </row>
    <row r="268" spans="2:22" hidden="1" outlineLevel="1" x14ac:dyDescent="0.15">
      <c r="F268" s="75"/>
    </row>
    <row r="269" spans="2:22" hidden="1" outlineLevel="1" x14ac:dyDescent="0.15">
      <c r="E269" s="47" t="s">
        <v>51</v>
      </c>
      <c r="F269" s="44" t="s">
        <v>43</v>
      </c>
      <c r="G269" s="60">
        <f>G220</f>
        <v>60400</v>
      </c>
    </row>
    <row r="270" spans="2:22" hidden="1" outlineLevel="1" x14ac:dyDescent="0.15">
      <c r="C270" s="75"/>
      <c r="E270" s="47" t="s">
        <v>52</v>
      </c>
      <c r="F270" s="44" t="s">
        <v>43</v>
      </c>
      <c r="G270" s="60">
        <f t="shared" ref="G270:V270" si="39">G224</f>
        <v>0</v>
      </c>
      <c r="H270" s="60">
        <f t="shared" si="39"/>
        <v>-80</v>
      </c>
      <c r="I270" s="60">
        <f t="shared" si="39"/>
        <v>-80</v>
      </c>
      <c r="J270" s="60">
        <f t="shared" si="39"/>
        <v>-80</v>
      </c>
      <c r="K270" s="60">
        <f t="shared" si="39"/>
        <v>1120</v>
      </c>
      <c r="L270" s="60">
        <f t="shared" si="39"/>
        <v>-80</v>
      </c>
      <c r="M270" s="60">
        <f t="shared" si="39"/>
        <v>-80</v>
      </c>
      <c r="N270" s="60">
        <f t="shared" si="39"/>
        <v>-80</v>
      </c>
      <c r="O270" s="60">
        <f t="shared" si="39"/>
        <v>1120</v>
      </c>
      <c r="P270" s="60">
        <f t="shared" si="39"/>
        <v>-80</v>
      </c>
      <c r="Q270" s="60">
        <f t="shared" si="39"/>
        <v>1120</v>
      </c>
      <c r="R270" s="60">
        <f t="shared" si="39"/>
        <v>-80</v>
      </c>
      <c r="S270" s="60">
        <f t="shared" si="39"/>
        <v>1120</v>
      </c>
      <c r="T270" s="60">
        <f t="shared" si="39"/>
        <v>-80</v>
      </c>
      <c r="U270" s="60">
        <f t="shared" si="39"/>
        <v>-80</v>
      </c>
      <c r="V270" s="22">
        <f t="shared" si="39"/>
        <v>-80</v>
      </c>
    </row>
    <row r="271" spans="2:22" hidden="1" outlineLevel="1" x14ac:dyDescent="0.15">
      <c r="B271" s="2" t="s">
        <v>147</v>
      </c>
      <c r="C271" s="76">
        <v>83.832190195130735</v>
      </c>
      <c r="E271" s="47" t="s">
        <v>146</v>
      </c>
      <c r="F271" s="44" t="s">
        <v>147</v>
      </c>
      <c r="G271" s="60">
        <f t="shared" ref="G271:V271" si="40">$C$271</f>
        <v>83.832190195130735</v>
      </c>
      <c r="H271" s="60">
        <f t="shared" si="40"/>
        <v>83.832190195130735</v>
      </c>
      <c r="I271" s="60">
        <f t="shared" si="40"/>
        <v>83.832190195130735</v>
      </c>
      <c r="J271" s="60">
        <f t="shared" si="40"/>
        <v>83.832190195130735</v>
      </c>
      <c r="K271" s="60">
        <f t="shared" si="40"/>
        <v>83.832190195130735</v>
      </c>
      <c r="L271" s="60">
        <f t="shared" si="40"/>
        <v>83.832190195130735</v>
      </c>
      <c r="M271" s="60">
        <f t="shared" si="40"/>
        <v>83.832190195130735</v>
      </c>
      <c r="N271" s="60">
        <f t="shared" si="40"/>
        <v>83.832190195130735</v>
      </c>
      <c r="O271" s="60">
        <f t="shared" si="40"/>
        <v>83.832190195130735</v>
      </c>
      <c r="P271" s="60">
        <f t="shared" si="40"/>
        <v>83.832190195130735</v>
      </c>
      <c r="Q271" s="60">
        <f t="shared" si="40"/>
        <v>83.832190195130735</v>
      </c>
      <c r="R271" s="60">
        <f t="shared" si="40"/>
        <v>83.832190195130735</v>
      </c>
      <c r="S271" s="60">
        <f t="shared" si="40"/>
        <v>83.832190195130735</v>
      </c>
      <c r="T271" s="60">
        <f t="shared" si="40"/>
        <v>83.832190195130735</v>
      </c>
      <c r="U271" s="60">
        <f t="shared" si="40"/>
        <v>83.832190195130735</v>
      </c>
      <c r="V271" s="60">
        <f t="shared" si="40"/>
        <v>83.832190195130735</v>
      </c>
    </row>
    <row r="272" spans="2:22" hidden="1" outlineLevel="1" x14ac:dyDescent="0.15">
      <c r="C272" s="32"/>
      <c r="E272" s="53" t="s">
        <v>146</v>
      </c>
      <c r="F272" s="44" t="s">
        <v>43</v>
      </c>
      <c r="G272" s="53" t="e">
        <f t="shared" ref="G272:V272" si="41">G271*Gas_Price</f>
        <v>#REF!</v>
      </c>
      <c r="H272" s="53" t="e">
        <f t="shared" si="41"/>
        <v>#REF!</v>
      </c>
      <c r="I272" s="53" t="e">
        <f t="shared" si="41"/>
        <v>#REF!</v>
      </c>
      <c r="J272" s="53" t="e">
        <f t="shared" si="41"/>
        <v>#REF!</v>
      </c>
      <c r="K272" s="53" t="e">
        <f t="shared" si="41"/>
        <v>#REF!</v>
      </c>
      <c r="L272" s="53" t="e">
        <f t="shared" si="41"/>
        <v>#REF!</v>
      </c>
      <c r="M272" s="53" t="e">
        <f t="shared" si="41"/>
        <v>#REF!</v>
      </c>
      <c r="N272" s="53" t="e">
        <f t="shared" si="41"/>
        <v>#REF!</v>
      </c>
      <c r="O272" s="53" t="e">
        <f t="shared" si="41"/>
        <v>#REF!</v>
      </c>
      <c r="P272" s="53" t="e">
        <f t="shared" si="41"/>
        <v>#REF!</v>
      </c>
      <c r="Q272" s="53" t="e">
        <f t="shared" si="41"/>
        <v>#REF!</v>
      </c>
      <c r="R272" s="53" t="e">
        <f t="shared" si="41"/>
        <v>#REF!</v>
      </c>
      <c r="S272" s="53" t="e">
        <f t="shared" si="41"/>
        <v>#REF!</v>
      </c>
      <c r="T272" s="53" t="e">
        <f t="shared" si="41"/>
        <v>#REF!</v>
      </c>
      <c r="U272" s="53" t="e">
        <f t="shared" si="41"/>
        <v>#REF!</v>
      </c>
      <c r="V272" s="53" t="e">
        <f t="shared" si="41"/>
        <v>#REF!</v>
      </c>
    </row>
    <row r="273" spans="2:22" hidden="1" outlineLevel="1" x14ac:dyDescent="0.15">
      <c r="C273" s="32"/>
      <c r="E273" s="53" t="s">
        <v>151</v>
      </c>
      <c r="F273" s="44" t="s">
        <v>43</v>
      </c>
      <c r="G273" s="54" t="e">
        <f t="shared" ref="G273:V273" si="42">IF(G217&lt;=$B$218,G272-G270-G269,0)</f>
        <v>#REF!</v>
      </c>
      <c r="H273" s="54" t="e">
        <f t="shared" si="42"/>
        <v>#REF!</v>
      </c>
      <c r="I273" s="54" t="e">
        <f t="shared" si="42"/>
        <v>#REF!</v>
      </c>
      <c r="J273" s="54" t="e">
        <f t="shared" si="42"/>
        <v>#REF!</v>
      </c>
      <c r="K273" s="54" t="e">
        <f t="shared" si="42"/>
        <v>#REF!</v>
      </c>
      <c r="L273" s="54" t="e">
        <f t="shared" si="42"/>
        <v>#REF!</v>
      </c>
      <c r="M273" s="54" t="e">
        <f t="shared" si="42"/>
        <v>#REF!</v>
      </c>
      <c r="N273" s="54" t="e">
        <f t="shared" si="42"/>
        <v>#REF!</v>
      </c>
      <c r="O273" s="54" t="e">
        <f t="shared" si="42"/>
        <v>#REF!</v>
      </c>
      <c r="P273" s="54" t="e">
        <f t="shared" si="42"/>
        <v>#REF!</v>
      </c>
      <c r="Q273" s="54">
        <f t="shared" si="42"/>
        <v>0</v>
      </c>
      <c r="R273" s="54">
        <f t="shared" si="42"/>
        <v>0</v>
      </c>
      <c r="S273" s="54">
        <f t="shared" si="42"/>
        <v>0</v>
      </c>
      <c r="T273" s="54">
        <f t="shared" si="42"/>
        <v>0</v>
      </c>
      <c r="U273" s="54">
        <f t="shared" si="42"/>
        <v>0</v>
      </c>
      <c r="V273" s="54">
        <f t="shared" si="42"/>
        <v>0</v>
      </c>
    </row>
    <row r="274" spans="2:22" hidden="1" outlineLevel="1" x14ac:dyDescent="0.15">
      <c r="C274" s="32"/>
      <c r="E274" s="53" t="s">
        <v>79</v>
      </c>
      <c r="F274" s="44" t="s">
        <v>43</v>
      </c>
      <c r="G274" s="54" t="e">
        <f>G273+NPV(Interest_Rate,H273:V273)</f>
        <v>#REF!</v>
      </c>
      <c r="H274" s="21"/>
      <c r="I274" s="21"/>
      <c r="J274" s="21"/>
      <c r="K274" s="21"/>
      <c r="L274" s="21"/>
      <c r="M274" s="21"/>
      <c r="N274" s="21"/>
      <c r="O274" s="21"/>
      <c r="P274" s="21"/>
      <c r="Q274" s="21"/>
      <c r="R274" s="21"/>
      <c r="S274" s="21"/>
      <c r="T274" s="21"/>
      <c r="U274" s="21"/>
      <c r="V274" s="21"/>
    </row>
    <row r="275" spans="2:22" hidden="1" outlineLevel="1" x14ac:dyDescent="0.15">
      <c r="C275" s="32"/>
      <c r="E275" s="53" t="s">
        <v>136</v>
      </c>
      <c r="F275" s="44" t="s">
        <v>135</v>
      </c>
      <c r="G275" s="73">
        <f t="shared" ref="G275:V275" si="43">IF(G217&lt;=$B$218,G271*$F$25,0)</f>
        <v>1.4019944325796956</v>
      </c>
      <c r="H275" s="73">
        <f t="shared" si="43"/>
        <v>1.4019944325796956</v>
      </c>
      <c r="I275" s="73">
        <f t="shared" si="43"/>
        <v>1.4019944325796956</v>
      </c>
      <c r="J275" s="73">
        <f t="shared" si="43"/>
        <v>1.4019944325796956</v>
      </c>
      <c r="K275" s="73">
        <f t="shared" si="43"/>
        <v>1.4019944325796956</v>
      </c>
      <c r="L275" s="73">
        <f t="shared" si="43"/>
        <v>1.4019944325796956</v>
      </c>
      <c r="M275" s="73">
        <f t="shared" si="43"/>
        <v>1.4019944325796956</v>
      </c>
      <c r="N275" s="73">
        <f t="shared" si="43"/>
        <v>1.4019944325796956</v>
      </c>
      <c r="O275" s="73">
        <f t="shared" si="43"/>
        <v>1.4019944325796956</v>
      </c>
      <c r="P275" s="73">
        <f t="shared" si="43"/>
        <v>1.4019944325796956</v>
      </c>
      <c r="Q275" s="73">
        <f t="shared" si="43"/>
        <v>0</v>
      </c>
      <c r="R275" s="73">
        <f t="shared" si="43"/>
        <v>0</v>
      </c>
      <c r="S275" s="73">
        <f t="shared" si="43"/>
        <v>0</v>
      </c>
      <c r="T275" s="73">
        <f t="shared" si="43"/>
        <v>0</v>
      </c>
      <c r="U275" s="73">
        <f t="shared" si="43"/>
        <v>0</v>
      </c>
      <c r="V275" s="73">
        <f t="shared" si="43"/>
        <v>0</v>
      </c>
    </row>
    <row r="276" spans="2:22" hidden="1" outlineLevel="1" x14ac:dyDescent="0.15">
      <c r="E276" s="53" t="s">
        <v>138</v>
      </c>
      <c r="F276" s="44" t="s">
        <v>137</v>
      </c>
      <c r="G276" s="54" t="e">
        <f>-G274/(G275+NPV(Interest_Rate,H275:V275))</f>
        <v>#REF!</v>
      </c>
    </row>
    <row r="277" spans="2:22" hidden="1" outlineLevel="1" x14ac:dyDescent="0.15"/>
    <row r="278" spans="2:22" hidden="1" outlineLevel="1" x14ac:dyDescent="0.15">
      <c r="G278" s="54">
        <f t="shared" ref="G278:V278" si="44">IF(G217&lt;=$B$218,1,0)</f>
        <v>1</v>
      </c>
      <c r="H278" s="54">
        <f t="shared" si="44"/>
        <v>1</v>
      </c>
      <c r="I278" s="54">
        <f t="shared" si="44"/>
        <v>1</v>
      </c>
      <c r="J278" s="54">
        <f t="shared" si="44"/>
        <v>1</v>
      </c>
      <c r="K278" s="54">
        <f t="shared" si="44"/>
        <v>1</v>
      </c>
      <c r="L278" s="54">
        <f t="shared" si="44"/>
        <v>1</v>
      </c>
      <c r="M278" s="54">
        <f t="shared" si="44"/>
        <v>1</v>
      </c>
      <c r="N278" s="54">
        <f t="shared" si="44"/>
        <v>1</v>
      </c>
      <c r="O278" s="54">
        <f t="shared" si="44"/>
        <v>1</v>
      </c>
      <c r="P278" s="54">
        <f t="shared" si="44"/>
        <v>1</v>
      </c>
      <c r="Q278" s="54">
        <f t="shared" si="44"/>
        <v>0</v>
      </c>
      <c r="R278" s="54">
        <f t="shared" si="44"/>
        <v>0</v>
      </c>
      <c r="S278" s="54">
        <f t="shared" si="44"/>
        <v>0</v>
      </c>
      <c r="T278" s="54">
        <f t="shared" si="44"/>
        <v>0</v>
      </c>
      <c r="U278" s="54">
        <f t="shared" si="44"/>
        <v>0</v>
      </c>
      <c r="V278" s="54">
        <f t="shared" si="44"/>
        <v>0</v>
      </c>
    </row>
    <row r="279" spans="2:22" hidden="1" outlineLevel="1" x14ac:dyDescent="0.15"/>
    <row r="280" spans="2:22" hidden="1" outlineLevel="1" x14ac:dyDescent="0.15">
      <c r="E280" s="53" t="s">
        <v>228</v>
      </c>
      <c r="F280" s="44" t="s">
        <v>41</v>
      </c>
      <c r="G280" s="54">
        <f>C271</f>
        <v>83.832190195130735</v>
      </c>
    </row>
    <row r="281" spans="2:22" hidden="1" outlineLevel="1" x14ac:dyDescent="0.15">
      <c r="E281" s="53" t="s">
        <v>228</v>
      </c>
      <c r="F281" s="44" t="s">
        <v>10</v>
      </c>
      <c r="G281" s="74">
        <f>G280*1000/Number_Days/Number_Hours</f>
        <v>9.5698847254715442</v>
      </c>
    </row>
    <row r="282" spans="2:22" hidden="1" outlineLevel="1" x14ac:dyDescent="0.15">
      <c r="E282" s="53" t="s">
        <v>140</v>
      </c>
      <c r="F282" s="44" t="s">
        <v>12</v>
      </c>
      <c r="G282" s="54">
        <f>SUM(E98:E99)</f>
        <v>12</v>
      </c>
    </row>
    <row r="283" spans="2:22" hidden="1" outlineLevel="1" x14ac:dyDescent="0.15">
      <c r="E283" s="53" t="s">
        <v>141</v>
      </c>
      <c r="F283" s="44" t="s">
        <v>12</v>
      </c>
      <c r="G283" s="54">
        <f>E101</f>
        <v>1</v>
      </c>
    </row>
    <row r="284" spans="2:22" hidden="1" outlineLevel="1" x14ac:dyDescent="0.15">
      <c r="E284" s="53" t="s">
        <v>142</v>
      </c>
      <c r="F284" s="44" t="s">
        <v>12</v>
      </c>
      <c r="G284" s="54">
        <f>E100</f>
        <v>0</v>
      </c>
    </row>
    <row r="285" spans="2:22" hidden="1" outlineLevel="1" x14ac:dyDescent="0.15">
      <c r="E285" s="53" t="s">
        <v>143</v>
      </c>
      <c r="F285" s="44" t="s">
        <v>10</v>
      </c>
      <c r="G285" s="73" t="e">
        <f>G283*ASSUMPTIONS!C26+#REF!*#REF!</f>
        <v>#REF!</v>
      </c>
    </row>
    <row r="286" spans="2:22" hidden="1" outlineLevel="1" x14ac:dyDescent="0.15">
      <c r="E286" s="53" t="s">
        <v>144</v>
      </c>
      <c r="F286" s="44" t="s">
        <v>145</v>
      </c>
      <c r="G286" s="74" t="e">
        <f>IF(G281-G285&lt;0,0,(G281-G285)/G282)</f>
        <v>#REF!</v>
      </c>
    </row>
    <row r="287" spans="2:22" hidden="1" outlineLevel="1" x14ac:dyDescent="0.15"/>
    <row r="288" spans="2:22" s="82" customFormat="1" ht="22.5" hidden="1" customHeight="1" outlineLevel="1" x14ac:dyDescent="0.15">
      <c r="B288" s="81" t="s">
        <v>227</v>
      </c>
    </row>
    <row r="289" spans="2:22" hidden="1" outlineLevel="1" x14ac:dyDescent="0.15"/>
    <row r="290" spans="2:22" hidden="1" outlineLevel="1" x14ac:dyDescent="0.15">
      <c r="E290" s="47" t="s">
        <v>51</v>
      </c>
      <c r="F290" s="44" t="s">
        <v>43</v>
      </c>
      <c r="G290" s="60">
        <f>G246</f>
        <v>100400</v>
      </c>
    </row>
    <row r="291" spans="2:22" hidden="1" outlineLevel="1" x14ac:dyDescent="0.15">
      <c r="E291" s="47" t="s">
        <v>52</v>
      </c>
      <c r="F291" s="44" t="s">
        <v>43</v>
      </c>
      <c r="G291" s="60">
        <f t="shared" ref="G291:V291" si="45">G250</f>
        <v>0</v>
      </c>
      <c r="H291" s="60">
        <f t="shared" si="45"/>
        <v>240</v>
      </c>
      <c r="I291" s="60">
        <f t="shared" si="45"/>
        <v>240</v>
      </c>
      <c r="J291" s="60">
        <f t="shared" si="45"/>
        <v>240</v>
      </c>
      <c r="K291" s="60">
        <f t="shared" si="45"/>
        <v>240</v>
      </c>
      <c r="L291" s="60">
        <f t="shared" si="45"/>
        <v>8960</v>
      </c>
      <c r="M291" s="60">
        <f t="shared" si="45"/>
        <v>240</v>
      </c>
      <c r="N291" s="60">
        <f t="shared" si="45"/>
        <v>240</v>
      </c>
      <c r="O291" s="60">
        <f t="shared" si="45"/>
        <v>240</v>
      </c>
      <c r="P291" s="60">
        <f t="shared" si="45"/>
        <v>240</v>
      </c>
      <c r="Q291" s="60">
        <f t="shared" si="45"/>
        <v>240</v>
      </c>
      <c r="R291" s="60">
        <f t="shared" si="45"/>
        <v>8960</v>
      </c>
      <c r="S291" s="60">
        <f t="shared" si="45"/>
        <v>240</v>
      </c>
      <c r="T291" s="60">
        <f t="shared" si="45"/>
        <v>240</v>
      </c>
      <c r="U291" s="60">
        <f t="shared" si="45"/>
        <v>240</v>
      </c>
      <c r="V291" s="60">
        <f t="shared" si="45"/>
        <v>-1040</v>
      </c>
    </row>
    <row r="292" spans="2:22" hidden="1" outlineLevel="1" x14ac:dyDescent="0.15">
      <c r="B292" s="2" t="s">
        <v>147</v>
      </c>
      <c r="C292" s="76">
        <v>247.6319218265516</v>
      </c>
      <c r="E292" s="47" t="s">
        <v>146</v>
      </c>
      <c r="F292" s="44" t="s">
        <v>147</v>
      </c>
      <c r="G292" s="60">
        <f t="shared" ref="G292:V292" si="46">$C$292</f>
        <v>247.6319218265516</v>
      </c>
      <c r="H292" s="60">
        <f t="shared" si="46"/>
        <v>247.6319218265516</v>
      </c>
      <c r="I292" s="60">
        <f t="shared" si="46"/>
        <v>247.6319218265516</v>
      </c>
      <c r="J292" s="60">
        <f t="shared" si="46"/>
        <v>247.6319218265516</v>
      </c>
      <c r="K292" s="60">
        <f t="shared" si="46"/>
        <v>247.6319218265516</v>
      </c>
      <c r="L292" s="60">
        <f t="shared" si="46"/>
        <v>247.6319218265516</v>
      </c>
      <c r="M292" s="60">
        <f t="shared" si="46"/>
        <v>247.6319218265516</v>
      </c>
      <c r="N292" s="60">
        <f t="shared" si="46"/>
        <v>247.6319218265516</v>
      </c>
      <c r="O292" s="60">
        <f t="shared" si="46"/>
        <v>247.6319218265516</v>
      </c>
      <c r="P292" s="60">
        <f t="shared" si="46"/>
        <v>247.6319218265516</v>
      </c>
      <c r="Q292" s="60">
        <f t="shared" si="46"/>
        <v>247.6319218265516</v>
      </c>
      <c r="R292" s="60">
        <f t="shared" si="46"/>
        <v>247.6319218265516</v>
      </c>
      <c r="S292" s="60">
        <f t="shared" si="46"/>
        <v>247.6319218265516</v>
      </c>
      <c r="T292" s="60">
        <f t="shared" si="46"/>
        <v>247.6319218265516</v>
      </c>
      <c r="U292" s="60">
        <f t="shared" si="46"/>
        <v>247.6319218265516</v>
      </c>
      <c r="V292" s="60">
        <f t="shared" si="46"/>
        <v>247.6319218265516</v>
      </c>
    </row>
    <row r="293" spans="2:22" hidden="1" outlineLevel="1" x14ac:dyDescent="0.15">
      <c r="C293" s="32"/>
      <c r="E293" s="53" t="s">
        <v>78</v>
      </c>
      <c r="F293" s="44" t="s">
        <v>43</v>
      </c>
      <c r="G293" s="53" t="e">
        <f>G292*Gas_Price</f>
        <v>#REF!</v>
      </c>
      <c r="H293" s="53" t="e">
        <f t="shared" ref="H293:V293" si="47">H292*Gas_Price</f>
        <v>#REF!</v>
      </c>
      <c r="I293" s="53" t="e">
        <f t="shared" si="47"/>
        <v>#REF!</v>
      </c>
      <c r="J293" s="53" t="e">
        <f t="shared" si="47"/>
        <v>#REF!</v>
      </c>
      <c r="K293" s="53" t="e">
        <f t="shared" si="47"/>
        <v>#REF!</v>
      </c>
      <c r="L293" s="53" t="e">
        <f t="shared" si="47"/>
        <v>#REF!</v>
      </c>
      <c r="M293" s="53" t="e">
        <f t="shared" si="47"/>
        <v>#REF!</v>
      </c>
      <c r="N293" s="53" t="e">
        <f t="shared" si="47"/>
        <v>#REF!</v>
      </c>
      <c r="O293" s="53" t="e">
        <f t="shared" si="47"/>
        <v>#REF!</v>
      </c>
      <c r="P293" s="53" t="e">
        <f t="shared" si="47"/>
        <v>#REF!</v>
      </c>
      <c r="Q293" s="53" t="e">
        <f t="shared" si="47"/>
        <v>#REF!</v>
      </c>
      <c r="R293" s="53" t="e">
        <f t="shared" si="47"/>
        <v>#REF!</v>
      </c>
      <c r="S293" s="53" t="e">
        <f t="shared" si="47"/>
        <v>#REF!</v>
      </c>
      <c r="T293" s="53" t="e">
        <f t="shared" si="47"/>
        <v>#REF!</v>
      </c>
      <c r="U293" s="53" t="e">
        <f t="shared" si="47"/>
        <v>#REF!</v>
      </c>
      <c r="V293" s="53" t="e">
        <f t="shared" si="47"/>
        <v>#REF!</v>
      </c>
    </row>
    <row r="294" spans="2:22" hidden="1" outlineLevel="1" x14ac:dyDescent="0.15">
      <c r="C294" s="32"/>
      <c r="E294" s="53" t="s">
        <v>148</v>
      </c>
      <c r="F294" s="44" t="s">
        <v>43</v>
      </c>
      <c r="G294" s="53" t="e">
        <f t="shared" ref="G294:V294" si="48">IF(G241&lt;=$B$218,G293-G291-G290,0)</f>
        <v>#REF!</v>
      </c>
      <c r="H294" s="53" t="e">
        <f t="shared" si="48"/>
        <v>#REF!</v>
      </c>
      <c r="I294" s="53" t="e">
        <f t="shared" si="48"/>
        <v>#REF!</v>
      </c>
      <c r="J294" s="53" t="e">
        <f t="shared" si="48"/>
        <v>#REF!</v>
      </c>
      <c r="K294" s="53" t="e">
        <f t="shared" si="48"/>
        <v>#REF!</v>
      </c>
      <c r="L294" s="53" t="e">
        <f t="shared" si="48"/>
        <v>#REF!</v>
      </c>
      <c r="M294" s="53" t="e">
        <f t="shared" si="48"/>
        <v>#REF!</v>
      </c>
      <c r="N294" s="53" t="e">
        <f t="shared" si="48"/>
        <v>#REF!</v>
      </c>
      <c r="O294" s="53" t="e">
        <f t="shared" si="48"/>
        <v>#REF!</v>
      </c>
      <c r="P294" s="53" t="e">
        <f t="shared" si="48"/>
        <v>#REF!</v>
      </c>
      <c r="Q294" s="53" t="e">
        <f t="shared" si="48"/>
        <v>#REF!</v>
      </c>
      <c r="R294" s="53" t="e">
        <f t="shared" si="48"/>
        <v>#REF!</v>
      </c>
      <c r="S294" s="53" t="e">
        <f t="shared" si="48"/>
        <v>#REF!</v>
      </c>
      <c r="T294" s="53" t="e">
        <f t="shared" si="48"/>
        <v>#REF!</v>
      </c>
      <c r="U294" s="53" t="e">
        <f t="shared" si="48"/>
        <v>#REF!</v>
      </c>
      <c r="V294" s="53" t="e">
        <f t="shared" si="48"/>
        <v>#REF!</v>
      </c>
    </row>
    <row r="295" spans="2:22" hidden="1" outlineLevel="1" x14ac:dyDescent="0.15">
      <c r="C295" s="32"/>
      <c r="E295" s="53" t="s">
        <v>79</v>
      </c>
      <c r="F295" s="44" t="s">
        <v>43</v>
      </c>
      <c r="G295" s="53" t="e">
        <f>G294+NPV(Interest_Rate,H294:V294)</f>
        <v>#REF!</v>
      </c>
      <c r="H295" s="21"/>
      <c r="I295" s="21"/>
      <c r="J295" s="21"/>
      <c r="K295" s="21"/>
      <c r="L295" s="21"/>
      <c r="M295" s="21"/>
      <c r="N295" s="21"/>
      <c r="O295" s="21"/>
      <c r="P295" s="21"/>
      <c r="Q295" s="21"/>
      <c r="R295" s="21"/>
      <c r="S295" s="21"/>
      <c r="T295" s="21"/>
      <c r="U295" s="21"/>
      <c r="V295" s="21"/>
    </row>
    <row r="296" spans="2:22" hidden="1" outlineLevel="1" x14ac:dyDescent="0.15">
      <c r="C296" s="32"/>
      <c r="E296" s="53" t="s">
        <v>136</v>
      </c>
      <c r="F296" s="44" t="s">
        <v>135</v>
      </c>
      <c r="G296" s="53">
        <f t="shared" ref="G296:V296" si="49">IF(G217&lt;=$B$218,G292*$F$25,0)</f>
        <v>4.1413516087523279</v>
      </c>
      <c r="H296" s="53">
        <f t="shared" si="49"/>
        <v>4.1413516087523279</v>
      </c>
      <c r="I296" s="53">
        <f t="shared" si="49"/>
        <v>4.1413516087523279</v>
      </c>
      <c r="J296" s="53">
        <f t="shared" si="49"/>
        <v>4.1413516087523279</v>
      </c>
      <c r="K296" s="53">
        <f t="shared" si="49"/>
        <v>4.1413516087523279</v>
      </c>
      <c r="L296" s="53">
        <f t="shared" si="49"/>
        <v>4.1413516087523279</v>
      </c>
      <c r="M296" s="53">
        <f t="shared" si="49"/>
        <v>4.1413516087523279</v>
      </c>
      <c r="N296" s="53">
        <f t="shared" si="49"/>
        <v>4.1413516087523279</v>
      </c>
      <c r="O296" s="53">
        <f t="shared" si="49"/>
        <v>4.1413516087523279</v>
      </c>
      <c r="P296" s="53">
        <f t="shared" si="49"/>
        <v>4.1413516087523279</v>
      </c>
      <c r="Q296" s="53">
        <f t="shared" si="49"/>
        <v>0</v>
      </c>
      <c r="R296" s="53">
        <f t="shared" si="49"/>
        <v>0</v>
      </c>
      <c r="S296" s="53">
        <f t="shared" si="49"/>
        <v>0</v>
      </c>
      <c r="T296" s="53">
        <f t="shared" si="49"/>
        <v>0</v>
      </c>
      <c r="U296" s="53">
        <f t="shared" si="49"/>
        <v>0</v>
      </c>
      <c r="V296" s="53">
        <f t="shared" si="49"/>
        <v>0</v>
      </c>
    </row>
    <row r="297" spans="2:22" hidden="1" outlineLevel="1" x14ac:dyDescent="0.15">
      <c r="E297" s="53" t="s">
        <v>138</v>
      </c>
      <c r="F297" s="44" t="s">
        <v>137</v>
      </c>
      <c r="G297" s="54" t="e">
        <f>-G295/(G296+NPV(Interest_Rate,H296:V296))</f>
        <v>#REF!</v>
      </c>
    </row>
    <row r="298" spans="2:22" hidden="1" outlineLevel="1" x14ac:dyDescent="0.15"/>
    <row r="299" spans="2:22" hidden="1" outlineLevel="1" x14ac:dyDescent="0.15">
      <c r="G299" s="54">
        <f>IF(G241&lt;=$B$218,1,0)</f>
        <v>1</v>
      </c>
      <c r="H299" s="54">
        <f t="shared" ref="H299:V299" si="50">IF(H241&lt;=$B$218,1,0)</f>
        <v>1</v>
      </c>
      <c r="I299" s="54">
        <f t="shared" si="50"/>
        <v>1</v>
      </c>
      <c r="J299" s="54">
        <f t="shared" si="50"/>
        <v>1</v>
      </c>
      <c r="K299" s="54">
        <f t="shared" si="50"/>
        <v>1</v>
      </c>
      <c r="L299" s="54">
        <f t="shared" si="50"/>
        <v>1</v>
      </c>
      <c r="M299" s="54">
        <f t="shared" si="50"/>
        <v>1</v>
      </c>
      <c r="N299" s="54">
        <f t="shared" si="50"/>
        <v>1</v>
      </c>
      <c r="O299" s="54">
        <f t="shared" si="50"/>
        <v>1</v>
      </c>
      <c r="P299" s="54">
        <f t="shared" si="50"/>
        <v>1</v>
      </c>
      <c r="Q299" s="54">
        <f t="shared" si="50"/>
        <v>1</v>
      </c>
      <c r="R299" s="54">
        <f t="shared" si="50"/>
        <v>1</v>
      </c>
      <c r="S299" s="54">
        <f t="shared" si="50"/>
        <v>1</v>
      </c>
      <c r="T299" s="54">
        <f t="shared" si="50"/>
        <v>1</v>
      </c>
      <c r="U299" s="54">
        <f t="shared" si="50"/>
        <v>1</v>
      </c>
      <c r="V299" s="54">
        <f t="shared" si="50"/>
        <v>1</v>
      </c>
    </row>
    <row r="300" spans="2:22" hidden="1" outlineLevel="1" x14ac:dyDescent="0.15">
      <c r="G300" s="25"/>
      <c r="H300" s="25"/>
      <c r="I300" s="25"/>
      <c r="J300" s="25"/>
      <c r="K300" s="25"/>
      <c r="L300" s="25"/>
      <c r="M300" s="25"/>
      <c r="N300" s="25"/>
      <c r="O300" s="25"/>
      <c r="P300" s="25"/>
      <c r="Q300" s="25"/>
      <c r="R300" s="25"/>
      <c r="S300" s="25"/>
      <c r="T300" s="25"/>
      <c r="U300" s="25"/>
      <c r="V300" s="25"/>
    </row>
    <row r="301" spans="2:22" hidden="1" outlineLevel="1" x14ac:dyDescent="0.15">
      <c r="E301" s="53" t="s">
        <v>139</v>
      </c>
      <c r="F301" s="44" t="s">
        <v>41</v>
      </c>
      <c r="G301" s="54">
        <f>C292</f>
        <v>247.6319218265516</v>
      </c>
    </row>
    <row r="302" spans="2:22" hidden="1" outlineLevel="1" x14ac:dyDescent="0.15">
      <c r="E302" s="53" t="s">
        <v>139</v>
      </c>
      <c r="F302" s="44" t="s">
        <v>10</v>
      </c>
      <c r="G302" s="54">
        <f>G301*1000/Number_Days/Number_Hours</f>
        <v>28.2684842267753</v>
      </c>
    </row>
    <row r="303" spans="2:22" hidden="1" outlineLevel="1" x14ac:dyDescent="0.15">
      <c r="E303" s="53" t="s">
        <v>140</v>
      </c>
      <c r="F303" s="44" t="s">
        <v>12</v>
      </c>
      <c r="G303" s="54">
        <f>G282</f>
        <v>12</v>
      </c>
    </row>
    <row r="304" spans="2:22" hidden="1" outlineLevel="1" x14ac:dyDescent="0.15">
      <c r="E304" s="53" t="s">
        <v>141</v>
      </c>
      <c r="F304" s="44" t="s">
        <v>12</v>
      </c>
      <c r="G304" s="54">
        <f>E101</f>
        <v>1</v>
      </c>
    </row>
    <row r="305" spans="2:22" hidden="1" outlineLevel="1" x14ac:dyDescent="0.15">
      <c r="E305" s="53" t="s">
        <v>142</v>
      </c>
      <c r="F305" s="44" t="s">
        <v>12</v>
      </c>
      <c r="G305" s="54">
        <f>F138</f>
        <v>0</v>
      </c>
    </row>
    <row r="306" spans="2:22" hidden="1" outlineLevel="1" x14ac:dyDescent="0.15">
      <c r="E306" s="53" t="s">
        <v>143</v>
      </c>
      <c r="F306" s="44" t="s">
        <v>10</v>
      </c>
      <c r="G306" s="54" t="e">
        <f>G285</f>
        <v>#REF!</v>
      </c>
    </row>
    <row r="307" spans="2:22" hidden="1" outlineLevel="1" x14ac:dyDescent="0.15">
      <c r="E307" s="53" t="s">
        <v>144</v>
      </c>
      <c r="F307" s="44" t="s">
        <v>145</v>
      </c>
      <c r="G307" s="54" t="e">
        <f>IF(G302-G306&lt;0,0,(G302-G306)/G303)</f>
        <v>#REF!</v>
      </c>
    </row>
    <row r="308" spans="2:22" collapsed="1" x14ac:dyDescent="0.15"/>
    <row r="309" spans="2:22" s="82" customFormat="1" ht="22.5" customHeight="1" x14ac:dyDescent="0.15">
      <c r="B309" s="123" t="s">
        <v>342</v>
      </c>
    </row>
    <row r="311" spans="2:22" x14ac:dyDescent="0.15">
      <c r="G311" s="99">
        <v>0</v>
      </c>
      <c r="H311" s="99">
        <v>1</v>
      </c>
      <c r="I311" s="99">
        <v>2</v>
      </c>
      <c r="J311" s="99">
        <v>3</v>
      </c>
      <c r="K311" s="99">
        <v>4</v>
      </c>
      <c r="L311" s="99">
        <v>5</v>
      </c>
      <c r="M311" s="99">
        <v>6</v>
      </c>
      <c r="N311" s="99">
        <v>7</v>
      </c>
      <c r="O311" s="99">
        <v>8</v>
      </c>
      <c r="P311" s="99">
        <v>9</v>
      </c>
      <c r="Q311" s="99">
        <v>10</v>
      </c>
      <c r="R311" s="99">
        <v>11</v>
      </c>
      <c r="S311" s="99">
        <v>12</v>
      </c>
      <c r="T311" s="99">
        <v>13</v>
      </c>
      <c r="U311" s="99">
        <v>14</v>
      </c>
      <c r="V311" s="99">
        <v>15</v>
      </c>
    </row>
    <row r="312" spans="2:22" x14ac:dyDescent="0.15">
      <c r="E312" s="53" t="s">
        <v>73</v>
      </c>
      <c r="F312" s="44" t="s">
        <v>43</v>
      </c>
      <c r="G312" s="54">
        <f>H202</f>
        <v>86625</v>
      </c>
    </row>
    <row r="313" spans="2:22" x14ac:dyDescent="0.15">
      <c r="E313" s="53" t="s">
        <v>74</v>
      </c>
      <c r="F313" s="44" t="s">
        <v>43</v>
      </c>
      <c r="G313" s="54">
        <f>F104</f>
        <v>0</v>
      </c>
    </row>
    <row r="314" spans="2:22" x14ac:dyDescent="0.15">
      <c r="E314" s="47" t="s">
        <v>77</v>
      </c>
      <c r="F314" s="44" t="s">
        <v>43</v>
      </c>
      <c r="G314" s="60">
        <f>G312-G313</f>
        <v>86625</v>
      </c>
    </row>
    <row r="316" spans="2:22" x14ac:dyDescent="0.15">
      <c r="E316" s="53" t="s">
        <v>75</v>
      </c>
      <c r="F316" s="44" t="s">
        <v>43</v>
      </c>
      <c r="G316" s="54">
        <f>G212</f>
        <v>0</v>
      </c>
      <c r="H316" s="54">
        <f t="shared" ref="H316:V316" si="51">H212</f>
        <v>1480</v>
      </c>
      <c r="I316" s="54">
        <f t="shared" si="51"/>
        <v>1480</v>
      </c>
      <c r="J316" s="54">
        <f t="shared" si="51"/>
        <v>1480</v>
      </c>
      <c r="K316" s="54">
        <f t="shared" si="51"/>
        <v>1480</v>
      </c>
      <c r="L316" s="54">
        <f t="shared" si="51"/>
        <v>1480</v>
      </c>
      <c r="M316" s="54">
        <f t="shared" si="51"/>
        <v>1480</v>
      </c>
      <c r="N316" s="54">
        <f t="shared" si="51"/>
        <v>8480</v>
      </c>
      <c r="O316" s="54">
        <f t="shared" si="51"/>
        <v>1480</v>
      </c>
      <c r="P316" s="54">
        <f t="shared" si="51"/>
        <v>1480</v>
      </c>
      <c r="Q316" s="54">
        <f t="shared" si="51"/>
        <v>16980</v>
      </c>
      <c r="R316" s="54">
        <f t="shared" si="51"/>
        <v>1480</v>
      </c>
      <c r="S316" s="54">
        <f t="shared" si="51"/>
        <v>1480</v>
      </c>
      <c r="T316" s="54">
        <f t="shared" si="51"/>
        <v>1480</v>
      </c>
      <c r="U316" s="54">
        <f t="shared" si="51"/>
        <v>8480</v>
      </c>
      <c r="V316" s="54">
        <f t="shared" si="51"/>
        <v>1480</v>
      </c>
    </row>
    <row r="317" spans="2:22" x14ac:dyDescent="0.15">
      <c r="E317" s="53" t="s">
        <v>76</v>
      </c>
      <c r="F317" s="44" t="s">
        <v>43</v>
      </c>
      <c r="G317" s="54">
        <f>G115</f>
        <v>0</v>
      </c>
      <c r="H317" s="54">
        <f t="shared" ref="H317:V317" si="52">H115</f>
        <v>1040</v>
      </c>
      <c r="I317" s="54">
        <f t="shared" si="52"/>
        <v>1040</v>
      </c>
      <c r="J317" s="54">
        <f t="shared" si="52"/>
        <v>1040</v>
      </c>
      <c r="K317" s="54">
        <f t="shared" si="52"/>
        <v>1040</v>
      </c>
      <c r="L317" s="54">
        <f t="shared" si="52"/>
        <v>1040</v>
      </c>
      <c r="M317" s="54">
        <f t="shared" si="52"/>
        <v>1040</v>
      </c>
      <c r="N317" s="54">
        <f t="shared" si="52"/>
        <v>1040</v>
      </c>
      <c r="O317" s="54">
        <f t="shared" si="52"/>
        <v>1040</v>
      </c>
      <c r="P317" s="54">
        <f t="shared" si="52"/>
        <v>1040</v>
      </c>
      <c r="Q317" s="54">
        <f t="shared" si="52"/>
        <v>1040</v>
      </c>
      <c r="R317" s="54">
        <f t="shared" si="52"/>
        <v>1040</v>
      </c>
      <c r="S317" s="54">
        <f t="shared" si="52"/>
        <v>1040</v>
      </c>
      <c r="T317" s="54">
        <f t="shared" si="52"/>
        <v>1040</v>
      </c>
      <c r="U317" s="54">
        <f t="shared" si="52"/>
        <v>1040</v>
      </c>
      <c r="V317" s="54">
        <f t="shared" si="52"/>
        <v>1040</v>
      </c>
    </row>
    <row r="318" spans="2:22" x14ac:dyDescent="0.15">
      <c r="E318" s="47" t="s">
        <v>77</v>
      </c>
      <c r="F318" s="44" t="s">
        <v>43</v>
      </c>
      <c r="G318" s="60">
        <f>G316-G317</f>
        <v>0</v>
      </c>
      <c r="H318" s="60">
        <f>H316-H317</f>
        <v>440</v>
      </c>
      <c r="I318" s="60">
        <f>I316-I317</f>
        <v>440</v>
      </c>
      <c r="J318" s="60">
        <f t="shared" ref="J318:V318" si="53">J316-J317</f>
        <v>440</v>
      </c>
      <c r="K318" s="60">
        <f t="shared" si="53"/>
        <v>440</v>
      </c>
      <c r="L318" s="60">
        <f t="shared" si="53"/>
        <v>440</v>
      </c>
      <c r="M318" s="60">
        <f t="shared" si="53"/>
        <v>440</v>
      </c>
      <c r="N318" s="60">
        <f t="shared" si="53"/>
        <v>7440</v>
      </c>
      <c r="O318" s="60">
        <f t="shared" si="53"/>
        <v>440</v>
      </c>
      <c r="P318" s="60">
        <f t="shared" si="53"/>
        <v>440</v>
      </c>
      <c r="Q318" s="60">
        <f t="shared" si="53"/>
        <v>15940</v>
      </c>
      <c r="R318" s="60">
        <f t="shared" si="53"/>
        <v>440</v>
      </c>
      <c r="S318" s="60">
        <f t="shared" si="53"/>
        <v>440</v>
      </c>
      <c r="T318" s="60">
        <f t="shared" si="53"/>
        <v>440</v>
      </c>
      <c r="U318" s="60">
        <f t="shared" si="53"/>
        <v>7440</v>
      </c>
      <c r="V318" s="60">
        <f t="shared" si="53"/>
        <v>440</v>
      </c>
    </row>
    <row r="319" spans="2:22" x14ac:dyDescent="0.15">
      <c r="E319" s="53" t="s">
        <v>85</v>
      </c>
      <c r="F319" s="44" t="s">
        <v>43</v>
      </c>
      <c r="G319" s="54">
        <f>G318+G314</f>
        <v>86625</v>
      </c>
      <c r="H319" s="54">
        <f>H318+H314</f>
        <v>440</v>
      </c>
      <c r="I319" s="54">
        <f>I318+I314</f>
        <v>440</v>
      </c>
      <c r="J319" s="54">
        <f t="shared" ref="J319:V319" si="54">J318+J314</f>
        <v>440</v>
      </c>
      <c r="K319" s="54">
        <f t="shared" si="54"/>
        <v>440</v>
      </c>
      <c r="L319" s="54">
        <f t="shared" si="54"/>
        <v>440</v>
      </c>
      <c r="M319" s="54">
        <f t="shared" si="54"/>
        <v>440</v>
      </c>
      <c r="N319" s="54">
        <f t="shared" si="54"/>
        <v>7440</v>
      </c>
      <c r="O319" s="54">
        <f t="shared" si="54"/>
        <v>440</v>
      </c>
      <c r="P319" s="54">
        <f t="shared" si="54"/>
        <v>440</v>
      </c>
      <c r="Q319" s="54">
        <f t="shared" si="54"/>
        <v>15940</v>
      </c>
      <c r="R319" s="54">
        <f t="shared" si="54"/>
        <v>440</v>
      </c>
      <c r="S319" s="54">
        <f t="shared" si="54"/>
        <v>440</v>
      </c>
      <c r="T319" s="54">
        <f t="shared" si="54"/>
        <v>440</v>
      </c>
      <c r="U319" s="54">
        <f t="shared" si="54"/>
        <v>7440</v>
      </c>
      <c r="V319" s="54">
        <f t="shared" si="54"/>
        <v>440</v>
      </c>
    </row>
    <row r="321" spans="5:22" x14ac:dyDescent="0.15">
      <c r="E321" s="53" t="s">
        <v>78</v>
      </c>
      <c r="F321" s="44" t="s">
        <v>41</v>
      </c>
      <c r="G321" s="54">
        <f>$F$24</f>
        <v>1345.2732000000001</v>
      </c>
      <c r="H321" s="54">
        <f t="shared" ref="H321:V321" si="55">$F$24</f>
        <v>1345.2732000000001</v>
      </c>
      <c r="I321" s="54">
        <f t="shared" si="55"/>
        <v>1345.2732000000001</v>
      </c>
      <c r="J321" s="54">
        <f t="shared" si="55"/>
        <v>1345.2732000000001</v>
      </c>
      <c r="K321" s="54">
        <f t="shared" si="55"/>
        <v>1345.2732000000001</v>
      </c>
      <c r="L321" s="54">
        <f t="shared" si="55"/>
        <v>1345.2732000000001</v>
      </c>
      <c r="M321" s="54">
        <f t="shared" si="55"/>
        <v>1345.2732000000001</v>
      </c>
      <c r="N321" s="54">
        <f t="shared" si="55"/>
        <v>1345.2732000000001</v>
      </c>
      <c r="O321" s="54">
        <f t="shared" si="55"/>
        <v>1345.2732000000001</v>
      </c>
      <c r="P321" s="54">
        <f t="shared" si="55"/>
        <v>1345.2732000000001</v>
      </c>
      <c r="Q321" s="54">
        <f t="shared" si="55"/>
        <v>1345.2732000000001</v>
      </c>
      <c r="R321" s="54">
        <f t="shared" si="55"/>
        <v>1345.2732000000001</v>
      </c>
      <c r="S321" s="54">
        <f t="shared" si="55"/>
        <v>1345.2732000000001</v>
      </c>
      <c r="T321" s="54">
        <f t="shared" si="55"/>
        <v>1345.2732000000001</v>
      </c>
      <c r="U321" s="54">
        <f t="shared" si="55"/>
        <v>1345.2732000000001</v>
      </c>
      <c r="V321" s="54">
        <f t="shared" si="55"/>
        <v>1345.2732000000001</v>
      </c>
    </row>
    <row r="322" spans="5:22" x14ac:dyDescent="0.15">
      <c r="E322" s="53" t="s">
        <v>78</v>
      </c>
      <c r="F322" s="44" t="s">
        <v>43</v>
      </c>
      <c r="G322" s="54">
        <f>G321*DASHBOARD!Gas_Price</f>
        <v>2690.5464000000002</v>
      </c>
      <c r="H322" s="54">
        <f>H321*DASHBOARD!Gas_Price</f>
        <v>2690.5464000000002</v>
      </c>
      <c r="I322" s="54">
        <f>I321*DASHBOARD!Gas_Price</f>
        <v>2690.5464000000002</v>
      </c>
      <c r="J322" s="54">
        <f>J321*DASHBOARD!Gas_Price</f>
        <v>2690.5464000000002</v>
      </c>
      <c r="K322" s="54">
        <f>K321*DASHBOARD!Gas_Price</f>
        <v>2690.5464000000002</v>
      </c>
      <c r="L322" s="54">
        <f>L321*DASHBOARD!Gas_Price</f>
        <v>2690.5464000000002</v>
      </c>
      <c r="M322" s="54">
        <f>M321*DASHBOARD!Gas_Price</f>
        <v>2690.5464000000002</v>
      </c>
      <c r="N322" s="54">
        <f>N321*DASHBOARD!Gas_Price</f>
        <v>2690.5464000000002</v>
      </c>
      <c r="O322" s="54">
        <f>O321*DASHBOARD!Gas_Price</f>
        <v>2690.5464000000002</v>
      </c>
      <c r="P322" s="54">
        <f>P321*DASHBOARD!Gas_Price</f>
        <v>2690.5464000000002</v>
      </c>
      <c r="Q322" s="54">
        <f>Q321*DASHBOARD!Gas_Price</f>
        <v>2690.5464000000002</v>
      </c>
      <c r="R322" s="54">
        <f>R321*DASHBOARD!Gas_Price</f>
        <v>2690.5464000000002</v>
      </c>
      <c r="S322" s="54">
        <f>S321*DASHBOARD!Gas_Price</f>
        <v>2690.5464000000002</v>
      </c>
      <c r="T322" s="54">
        <f>T321*DASHBOARD!Gas_Price</f>
        <v>2690.5464000000002</v>
      </c>
      <c r="U322" s="54">
        <f>U321*DASHBOARD!Gas_Price</f>
        <v>2690.5464000000002</v>
      </c>
      <c r="V322" s="54">
        <f>V321*DASHBOARD!Gas_Price</f>
        <v>2690.5464000000002</v>
      </c>
    </row>
    <row r="323" spans="5:22" x14ac:dyDescent="0.15">
      <c r="E323" s="53" t="s">
        <v>83</v>
      </c>
      <c r="F323" s="44" t="s">
        <v>84</v>
      </c>
      <c r="G323" s="54">
        <f>G321*$F$26</f>
        <v>6.2330545668838671</v>
      </c>
      <c r="H323" s="54">
        <f t="shared" ref="H323:V323" si="56">H321*$F$26</f>
        <v>6.2330545668838671</v>
      </c>
      <c r="I323" s="54">
        <f t="shared" si="56"/>
        <v>6.2330545668838671</v>
      </c>
      <c r="J323" s="54">
        <f t="shared" si="56"/>
        <v>6.2330545668838671</v>
      </c>
      <c r="K323" s="54">
        <f t="shared" si="56"/>
        <v>6.2330545668838671</v>
      </c>
      <c r="L323" s="54">
        <f t="shared" si="56"/>
        <v>6.2330545668838671</v>
      </c>
      <c r="M323" s="54">
        <f t="shared" si="56"/>
        <v>6.2330545668838671</v>
      </c>
      <c r="N323" s="54">
        <f t="shared" si="56"/>
        <v>6.2330545668838671</v>
      </c>
      <c r="O323" s="54">
        <f t="shared" si="56"/>
        <v>6.2330545668838671</v>
      </c>
      <c r="P323" s="54">
        <f t="shared" si="56"/>
        <v>6.2330545668838671</v>
      </c>
      <c r="Q323" s="54">
        <f t="shared" si="56"/>
        <v>6.2330545668838671</v>
      </c>
      <c r="R323" s="54">
        <f t="shared" si="56"/>
        <v>6.2330545668838671</v>
      </c>
      <c r="S323" s="54">
        <f t="shared" si="56"/>
        <v>6.2330545668838671</v>
      </c>
      <c r="T323" s="54">
        <f t="shared" si="56"/>
        <v>6.2330545668838671</v>
      </c>
      <c r="U323" s="54">
        <f t="shared" si="56"/>
        <v>6.2330545668838671</v>
      </c>
      <c r="V323" s="54">
        <f t="shared" si="56"/>
        <v>6.2330545668838671</v>
      </c>
    </row>
    <row r="324" spans="5:22" x14ac:dyDescent="0.15">
      <c r="E324" s="53" t="s">
        <v>136</v>
      </c>
      <c r="F324" s="44" t="s">
        <v>135</v>
      </c>
      <c r="G324" s="54">
        <f>IF(G217&lt;$B$218,$F$27,0)</f>
        <v>22.498106423184215</v>
      </c>
      <c r="H324" s="54">
        <f t="shared" ref="H324:V324" si="57">IF(H285&lt;$B$218,$F$27,0)</f>
        <v>22.498106423184215</v>
      </c>
      <c r="I324" s="54">
        <f t="shared" si="57"/>
        <v>22.498106423184215</v>
      </c>
      <c r="J324" s="54">
        <f t="shared" si="57"/>
        <v>22.498106423184215</v>
      </c>
      <c r="K324" s="54">
        <f t="shared" si="57"/>
        <v>22.498106423184215</v>
      </c>
      <c r="L324" s="54">
        <f t="shared" si="57"/>
        <v>22.498106423184215</v>
      </c>
      <c r="M324" s="54">
        <f t="shared" si="57"/>
        <v>22.498106423184215</v>
      </c>
      <c r="N324" s="54">
        <f t="shared" si="57"/>
        <v>22.498106423184215</v>
      </c>
      <c r="O324" s="54">
        <f t="shared" si="57"/>
        <v>22.498106423184215</v>
      </c>
      <c r="P324" s="54">
        <f t="shared" si="57"/>
        <v>22.498106423184215</v>
      </c>
      <c r="Q324" s="54">
        <f t="shared" si="57"/>
        <v>22.498106423184215</v>
      </c>
      <c r="R324" s="54">
        <f t="shared" si="57"/>
        <v>22.498106423184215</v>
      </c>
      <c r="S324" s="54">
        <f t="shared" si="57"/>
        <v>22.498106423184215</v>
      </c>
      <c r="T324" s="54">
        <f t="shared" si="57"/>
        <v>22.498106423184215</v>
      </c>
      <c r="U324" s="54">
        <f t="shared" si="57"/>
        <v>22.498106423184215</v>
      </c>
      <c r="V324" s="54">
        <f t="shared" si="57"/>
        <v>22.498106423184215</v>
      </c>
    </row>
    <row r="325" spans="5:22" x14ac:dyDescent="0.15">
      <c r="E325" s="21"/>
      <c r="F325" s="10"/>
      <c r="G325" s="21"/>
      <c r="H325" s="21"/>
      <c r="I325" s="21"/>
      <c r="J325" s="21"/>
      <c r="K325" s="21"/>
      <c r="L325" s="21"/>
      <c r="M325" s="21"/>
      <c r="N325" s="21"/>
      <c r="O325" s="21"/>
      <c r="P325" s="21"/>
      <c r="Q325" s="21"/>
      <c r="R325" s="21"/>
      <c r="S325" s="21"/>
      <c r="T325" s="21"/>
      <c r="U325" s="21"/>
      <c r="V325" s="21"/>
    </row>
    <row r="326" spans="5:22" x14ac:dyDescent="0.15">
      <c r="E326" s="53" t="s">
        <v>81</v>
      </c>
      <c r="F326" s="44" t="s">
        <v>43</v>
      </c>
      <c r="G326" s="54">
        <f>IF(G311&lt;=$B$218,-G314-G318+G322,0)</f>
        <v>-83934.453599999993</v>
      </c>
      <c r="H326" s="54">
        <f t="shared" ref="H326:V326" si="58">IF(H311&lt;=$B$218,-H314-H318+H322,0)</f>
        <v>2250.5464000000002</v>
      </c>
      <c r="I326" s="54">
        <f t="shared" si="58"/>
        <v>2250.5464000000002</v>
      </c>
      <c r="J326" s="54">
        <f t="shared" si="58"/>
        <v>2250.5464000000002</v>
      </c>
      <c r="K326" s="54">
        <f t="shared" si="58"/>
        <v>2250.5464000000002</v>
      </c>
      <c r="L326" s="54">
        <f t="shared" si="58"/>
        <v>2250.5464000000002</v>
      </c>
      <c r="M326" s="54">
        <f t="shared" si="58"/>
        <v>2250.5464000000002</v>
      </c>
      <c r="N326" s="54">
        <f t="shared" si="58"/>
        <v>-4749.4535999999998</v>
      </c>
      <c r="O326" s="54">
        <f t="shared" si="58"/>
        <v>2250.5464000000002</v>
      </c>
      <c r="P326" s="54">
        <f t="shared" si="58"/>
        <v>2250.5464000000002</v>
      </c>
      <c r="Q326" s="54">
        <f t="shared" si="58"/>
        <v>0</v>
      </c>
      <c r="R326" s="54">
        <f t="shared" si="58"/>
        <v>0</v>
      </c>
      <c r="S326" s="54">
        <f t="shared" si="58"/>
        <v>0</v>
      </c>
      <c r="T326" s="54">
        <f t="shared" si="58"/>
        <v>0</v>
      </c>
      <c r="U326" s="54">
        <f t="shared" si="58"/>
        <v>0</v>
      </c>
      <c r="V326" s="54">
        <f t="shared" si="58"/>
        <v>0</v>
      </c>
    </row>
    <row r="328" spans="5:22" x14ac:dyDescent="0.15">
      <c r="E328" s="16" t="s">
        <v>264</v>
      </c>
    </row>
    <row r="329" spans="5:22" x14ac:dyDescent="0.15">
      <c r="E329" s="53" t="s">
        <v>51</v>
      </c>
      <c r="F329" s="44" t="s">
        <v>43</v>
      </c>
      <c r="G329" s="54">
        <f>G314</f>
        <v>86625</v>
      </c>
      <c r="H329" s="25"/>
    </row>
    <row r="330" spans="5:22" x14ac:dyDescent="0.15">
      <c r="E330" s="53" t="s">
        <v>79</v>
      </c>
      <c r="F330" s="44" t="s">
        <v>43</v>
      </c>
      <c r="G330" s="54">
        <f>G326+NPV(DASHBOARD!Interest_Rate,H326:U326)</f>
        <v>-73630.869310496142</v>
      </c>
      <c r="H330" s="25"/>
    </row>
    <row r="331" spans="5:22" x14ac:dyDescent="0.15">
      <c r="E331" s="53" t="s">
        <v>80</v>
      </c>
      <c r="F331" s="44" t="s">
        <v>137</v>
      </c>
      <c r="G331" s="54">
        <f>-G330/(G324+NPV(DASHBOARD!Interest_Rate,H324:V324))</f>
        <v>323.78179224678536</v>
      </c>
      <c r="H331" s="25"/>
    </row>
    <row r="332" spans="5:22" x14ac:dyDescent="0.15">
      <c r="E332" s="53" t="s">
        <v>80</v>
      </c>
      <c r="F332" s="44" t="s">
        <v>88</v>
      </c>
      <c r="G332" s="54">
        <f>-G330/NPV(DASHBOARD!Interest_Rate,G323:U323)</f>
        <v>1297.0003030787541</v>
      </c>
      <c r="H332" s="25"/>
    </row>
  </sheetData>
  <sheetProtection algorithmName="SHA-512" hashValue="aHujofv57EM0R3R0FrC6C711sSxtTnDYDgZXFk24kkS0SP99BYN8O+FHLWYiNmAiX/eyT4ooE/I5lZiCRwdsoA==" saltValue="OjRMROXlQ8ptIjT86IJrOg==" spinCount="100000" sheet="1" objects="1" scenarios="1"/>
  <pageMargins left="0.7" right="0.7" top="0.75" bottom="0.75" header="0.3" footer="0.3"/>
  <pageSetup paperSize="9" orientation="portrait" r:id="rId1"/>
  <ignoredErrors>
    <ignoredError sqref="H196 E34"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g xmlns="0f5b571a-eaeb-4b8f-b589-2366337cbc80" xsi:nil="true"/>
    <Note xmlns="0f5b571a-eaeb-4b8f-b589-2366337cbc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01392BE6DC5140B6E1B3C022B40F1E" ma:contentTypeVersion="15" ma:contentTypeDescription="Create a new document." ma:contentTypeScope="" ma:versionID="4b9a00b27a70c060db9fde3a3c31a6f8">
  <xsd:schema xmlns:xsd="http://www.w3.org/2001/XMLSchema" xmlns:xs="http://www.w3.org/2001/XMLSchema" xmlns:p="http://schemas.microsoft.com/office/2006/metadata/properties" xmlns:ns2="0f5b571a-eaeb-4b8f-b589-2366337cbc80" xmlns:ns3="4a385f88-92b2-4602-8c4b-4411cf8cb467" targetNamespace="http://schemas.microsoft.com/office/2006/metadata/properties" ma:root="true" ma:fieldsID="16712c278c8ef55a9aac21c25fc9874d" ns2:_="" ns3:_="">
    <xsd:import namespace="0f5b571a-eaeb-4b8f-b589-2366337cbc80"/>
    <xsd:import namespace="4a385f88-92b2-4602-8c4b-4411cf8cb4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Note" minOccurs="0"/>
                <xsd:element ref="ns2:Tag"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b571a-eaeb-4b8f-b589-2366337cbc8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Note" ma:index="13" nillable="true" ma:displayName="Note" ma:internalName="Note">
      <xsd:simpleType>
        <xsd:restriction base="dms:Text">
          <xsd:maxLength value="255"/>
        </xsd:restriction>
      </xsd:simpleType>
    </xsd:element>
    <xsd:element name="Tag" ma:index="14" nillable="true" ma:displayName="Tag" ma:internalName="Tag">
      <xsd:simpleType>
        <xsd:restriction base="dms:Text">
          <xsd:maxLength value="255"/>
        </xsd:restriction>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385f88-92b2-4602-8c4b-4411cf8cb46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38107-3FDA-44D4-B1B7-029A690717C2}">
  <ds:schemaRefs>
    <ds:schemaRef ds:uri="http://schemas.microsoft.com/office/2006/metadata/properties"/>
    <ds:schemaRef ds:uri="http://schemas.microsoft.com/office/infopath/2007/PartnerControls"/>
    <ds:schemaRef ds:uri="0f5b571a-eaeb-4b8f-b589-2366337cbc80"/>
  </ds:schemaRefs>
</ds:datastoreItem>
</file>

<file path=customXml/itemProps2.xml><?xml version="1.0" encoding="utf-8"?>
<ds:datastoreItem xmlns:ds="http://schemas.openxmlformats.org/officeDocument/2006/customXml" ds:itemID="{7F5E030A-1B6B-48DF-B686-5B082CA3B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b571a-eaeb-4b8f-b589-2366337cbc80"/>
    <ds:schemaRef ds:uri="4a385f88-92b2-4602-8c4b-4411cf8cb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517B81-C33C-44E1-8675-2424E385D1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29</vt:i4>
      </vt:variant>
    </vt:vector>
  </HeadingPairs>
  <TitlesOfParts>
    <vt:vector size="34" baseType="lpstr">
      <vt:lpstr>HOME</vt:lpstr>
      <vt:lpstr>LIST</vt:lpstr>
      <vt:lpstr>DASHBOARD</vt:lpstr>
      <vt:lpstr>ASSUMPTIONS</vt:lpstr>
      <vt:lpstr>CALCULATION</vt:lpstr>
      <vt:lpstr>AC_Target_Air</vt:lpstr>
      <vt:lpstr>AC_Target_Elec</vt:lpstr>
      <vt:lpstr>cf_in_cm</vt:lpstr>
      <vt:lpstr>DASHBOARD!Electricity_available_on_site</vt:lpstr>
      <vt:lpstr>Electricity_available_on_site</vt:lpstr>
      <vt:lpstr>DASHBOARD!Gas_Price</vt:lpstr>
      <vt:lpstr>DASHBOARD!Gasa_price_Table</vt:lpstr>
      <vt:lpstr>Gasa_price_Table</vt:lpstr>
      <vt:lpstr>DASHBOARD!Interest_Rate</vt:lpstr>
      <vt:lpstr>DASHBOARD!Interest_Rate_table</vt:lpstr>
      <vt:lpstr>Interest_Rate_table</vt:lpstr>
      <vt:lpstr>Lifetime_P</vt:lpstr>
      <vt:lpstr>Methane_Density_cf</vt:lpstr>
      <vt:lpstr>Methane_Density_cm</vt:lpstr>
      <vt:lpstr>Minimum_Rate_air</vt:lpstr>
      <vt:lpstr>Minimum_Rate_Elec</vt:lpstr>
      <vt:lpstr>Number_Days</vt:lpstr>
      <vt:lpstr>Number_Hours</vt:lpstr>
      <vt:lpstr>Number_Minutes</vt:lpstr>
      <vt:lpstr>DASHBOARD!Numberpump</vt:lpstr>
      <vt:lpstr>Numberpump</vt:lpstr>
      <vt:lpstr>DASHBOARD!Retrofit_lifetime</vt:lpstr>
      <vt:lpstr>Retrofit_lifetime</vt:lpstr>
      <vt:lpstr>DASHBOARD!Retrofit_New</vt:lpstr>
      <vt:lpstr>Retrofit_New</vt:lpstr>
      <vt:lpstr>Share_Methane</vt:lpstr>
      <vt:lpstr>DASHBOARD!SupplyGas</vt:lpstr>
      <vt:lpstr>SupplyGas</vt:lpstr>
      <vt:lpstr>DASHBOARD!Target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Saunier</dc:creator>
  <cp:lastModifiedBy>Kara Hunt</cp:lastModifiedBy>
  <dcterms:created xsi:type="dcterms:W3CDTF">2006-09-16T00:00:00Z</dcterms:created>
  <dcterms:modified xsi:type="dcterms:W3CDTF">2022-02-01T20:20:30Z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0x0101008E01392BE6DC5140B6E1B3C022B40F1E</vt:lpwstr>
  </property>
  <property fmtid="{D5CDD505-2E9C-101B-9397-08002B2CF9AE}" pid="3" name="Order">
    <vt:r8>3422800</vt:r8>
  </property>
</Properties>
</file>